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mc:AlternateContent xmlns:mc="http://schemas.openxmlformats.org/markup-compatibility/2006">
    <mc:Choice Requires="x15">
      <x15ac:absPath xmlns:x15ac="http://schemas.microsoft.com/office/spreadsheetml/2010/11/ac" url="E:\Мои документы\Мои документы\РАЙСОВЕТ\Реестр сессий\2024 год\34-ая сессия_25.12.2024\Р_№346_Бюджет 2024_изменения\"/>
    </mc:Choice>
  </mc:AlternateContent>
  <xr:revisionPtr revIDLastSave="0" documentId="13_ncr:1_{E7C979F5-AB57-481D-A394-1A8EFBDF7835}" xr6:coauthVersionLast="47" xr6:coauthVersionMax="47" xr10:uidLastSave="{00000000-0000-0000-0000-000000000000}"/>
  <bookViews>
    <workbookView xWindow="-120" yWindow="-120" windowWidth="29040" windowHeight="15840" xr2:uid="{00000000-000D-0000-FFFF-FFFF00000000}"/>
  </bookViews>
  <sheets>
    <sheet name="Доходы" sheetId="2" r:id="rId1"/>
  </sheets>
  <definedNames>
    <definedName name="_xlnm.Print_Titles" localSheetId="0">Доходы!$7:$7</definedName>
  </definedNames>
  <calcPr calcId="181029"/>
</workbook>
</file>

<file path=xl/calcChain.xml><?xml version="1.0" encoding="utf-8"?>
<calcChain xmlns="http://schemas.openxmlformats.org/spreadsheetml/2006/main">
  <c r="L96" i="2" l="1"/>
  <c r="M96" i="2" l="1"/>
  <c r="L121" i="2"/>
  <c r="M71" i="2" l="1"/>
  <c r="L98" i="2" l="1"/>
  <c r="L92" i="2" l="1"/>
  <c r="M92" i="2" l="1"/>
  <c r="M88" i="2"/>
  <c r="M117" i="2" l="1"/>
  <c r="L116" i="2"/>
  <c r="L110" i="2"/>
  <c r="M118" i="2"/>
  <c r="L119" i="2"/>
  <c r="M119" i="2" s="1"/>
  <c r="M97" i="2"/>
  <c r="L89" i="2"/>
  <c r="M66" i="2"/>
  <c r="L67" i="2"/>
  <c r="W72" i="2"/>
  <c r="L83" i="2" l="1"/>
  <c r="L63" i="2" l="1"/>
  <c r="M63" i="2" s="1"/>
  <c r="M81" i="2"/>
  <c r="W121" i="2" l="1"/>
  <c r="W120" i="2" s="1"/>
  <c r="V120" i="2"/>
  <c r="L42" i="2" l="1"/>
  <c r="L44" i="2"/>
  <c r="L32" i="2"/>
  <c r="L18" i="2"/>
  <c r="L17" i="2" s="1"/>
  <c r="M58" i="2"/>
  <c r="L52" i="2"/>
  <c r="L51" i="2" s="1"/>
  <c r="M53" i="2"/>
  <c r="M52" i="2" s="1"/>
  <c r="M51" i="2" s="1"/>
  <c r="M43" i="2"/>
  <c r="M42" i="2"/>
  <c r="M45" i="2"/>
  <c r="M44" i="2" s="1"/>
  <c r="M31" i="2"/>
  <c r="M33" i="2"/>
  <c r="M32" i="2" s="1"/>
  <c r="M23" i="2"/>
  <c r="M22" i="2"/>
  <c r="M19" i="2"/>
  <c r="M12" i="2"/>
  <c r="M41" i="2" l="1"/>
  <c r="L41" i="2"/>
  <c r="M121" i="2"/>
  <c r="M111" i="2" l="1"/>
  <c r="M116" i="2"/>
  <c r="W110" i="2"/>
  <c r="M110" i="2"/>
  <c r="L107" i="2"/>
  <c r="M107" i="2" s="1"/>
  <c r="M103" i="2"/>
  <c r="M99" i="2"/>
  <c r="M98" i="2"/>
  <c r="L95" i="2"/>
  <c r="M94" i="2"/>
  <c r="M93" i="2"/>
  <c r="K65" i="2"/>
  <c r="M90" i="2"/>
  <c r="M89" i="2"/>
  <c r="M83" i="2"/>
  <c r="L82" i="2"/>
  <c r="M69" i="2"/>
  <c r="W69" i="2"/>
  <c r="M70" i="2"/>
  <c r="M67" i="2"/>
  <c r="L65" i="2" l="1"/>
  <c r="M82" i="2"/>
  <c r="L91" i="2"/>
  <c r="M95" i="2"/>
  <c r="Z73" i="2"/>
  <c r="W73" i="2"/>
  <c r="K39" i="2"/>
  <c r="K55" i="2"/>
  <c r="M104" i="2" l="1"/>
  <c r="M91" i="2" s="1"/>
  <c r="M20" i="2" l="1"/>
  <c r="M18" i="2" s="1"/>
  <c r="M17" i="2" s="1"/>
  <c r="L39" i="2"/>
  <c r="M40" i="2"/>
  <c r="M39" i="2" s="1"/>
  <c r="U65" i="2" l="1"/>
  <c r="V65" i="2"/>
  <c r="W87" i="2"/>
  <c r="W65" i="2" s="1"/>
  <c r="Z110" i="2" l="1"/>
  <c r="Y109" i="2" l="1"/>
  <c r="X109" i="2"/>
  <c r="Y91" i="2"/>
  <c r="X91" i="2"/>
  <c r="Y65" i="2"/>
  <c r="Y61" i="2" s="1"/>
  <c r="Y122" i="2" s="1"/>
  <c r="X65" i="2"/>
  <c r="V109" i="2"/>
  <c r="U109" i="2"/>
  <c r="V91" i="2"/>
  <c r="U91" i="2"/>
  <c r="L120" i="2"/>
  <c r="K120" i="2"/>
  <c r="K116" i="2"/>
  <c r="L109" i="2"/>
  <c r="K109" i="2"/>
  <c r="K91" i="2"/>
  <c r="L55" i="2"/>
  <c r="L59" i="2"/>
  <c r="L57" i="2"/>
  <c r="K57" i="2"/>
  <c r="L30" i="2"/>
  <c r="K17" i="2"/>
  <c r="K11" i="2"/>
  <c r="K10" i="2" s="1"/>
  <c r="X34" i="2"/>
  <c r="X18" i="2"/>
  <c r="X17" i="2" s="1"/>
  <c r="X13" i="2"/>
  <c r="X10" i="2"/>
  <c r="U34" i="2"/>
  <c r="U18" i="2"/>
  <c r="U17" i="2"/>
  <c r="U13" i="2"/>
  <c r="U10" i="2"/>
  <c r="K59" i="2"/>
  <c r="L34" i="2"/>
  <c r="K30" i="2"/>
  <c r="L13" i="2"/>
  <c r="K13" i="2"/>
  <c r="L11" i="2"/>
  <c r="L10" i="2" s="1"/>
  <c r="U61" i="2" l="1"/>
  <c r="U122" i="2" s="1"/>
  <c r="V61" i="2"/>
  <c r="V122" i="2" s="1"/>
  <c r="L54" i="2"/>
  <c r="K34" i="2"/>
  <c r="L9" i="2"/>
  <c r="X61" i="2"/>
  <c r="X122" i="2" s="1"/>
  <c r="K61" i="2"/>
  <c r="L61" i="2"/>
  <c r="K54" i="2"/>
  <c r="K9" i="2" s="1"/>
  <c r="K122" i="2" l="1"/>
  <c r="L122" i="2"/>
  <c r="M59" i="2"/>
  <c r="M57" i="2"/>
  <c r="M56" i="2"/>
  <c r="M36" i="2" l="1"/>
  <c r="M38" i="2"/>
  <c r="M37" i="2"/>
  <c r="M35" i="2" l="1"/>
  <c r="M34" i="2" s="1"/>
  <c r="M11" i="2"/>
  <c r="M10" i="2" s="1"/>
  <c r="M78" i="2" l="1"/>
  <c r="M65" i="2" s="1"/>
  <c r="M30" i="2" l="1"/>
  <c r="Z113" i="2" l="1"/>
  <c r="W113" i="2"/>
  <c r="M113" i="2"/>
  <c r="M109" i="2" s="1"/>
  <c r="Z65" i="2"/>
  <c r="N65" i="2"/>
  <c r="O65" i="2"/>
  <c r="P65" i="2"/>
  <c r="Q65" i="2"/>
  <c r="R65" i="2"/>
  <c r="S65" i="2"/>
  <c r="Z109" i="2" l="1"/>
  <c r="W109" i="2"/>
  <c r="Z91" i="2"/>
  <c r="W91" i="2"/>
  <c r="Z34" i="2"/>
  <c r="W34" i="2"/>
  <c r="Z18" i="2"/>
  <c r="W18" i="2"/>
  <c r="Z17" i="2"/>
  <c r="W17" i="2"/>
  <c r="Z13" i="2"/>
  <c r="W13" i="2"/>
  <c r="Z10" i="2"/>
  <c r="W10" i="2"/>
  <c r="W61" i="2" l="1"/>
  <c r="W122" i="2" s="1"/>
  <c r="Z61" i="2"/>
  <c r="Z122" i="2" s="1"/>
  <c r="M120" i="2"/>
  <c r="M55" i="2"/>
  <c r="M54" i="2" s="1"/>
  <c r="N91" i="2" l="1"/>
  <c r="O91" i="2"/>
  <c r="P91" i="2"/>
  <c r="Q91" i="2"/>
  <c r="R91" i="2"/>
  <c r="S91" i="2"/>
  <c r="M61" i="2"/>
  <c r="N109" i="2"/>
  <c r="O109" i="2"/>
  <c r="P109" i="2"/>
  <c r="Q109" i="2"/>
  <c r="R109" i="2"/>
  <c r="S109" i="2"/>
  <c r="R61" i="2" l="1"/>
  <c r="R122" i="2" s="1"/>
  <c r="P61" i="2"/>
  <c r="P122" i="2" s="1"/>
  <c r="N61" i="2"/>
  <c r="N122" i="2" s="1"/>
  <c r="S61" i="2"/>
  <c r="S122" i="2" s="1"/>
  <c r="Q61" i="2"/>
  <c r="Q122" i="2" s="1"/>
  <c r="O61" i="2"/>
  <c r="O122" i="2" s="1"/>
  <c r="N34" i="2"/>
  <c r="O34" i="2"/>
  <c r="P34" i="2"/>
  <c r="Q34" i="2"/>
  <c r="R34" i="2"/>
  <c r="S34" i="2"/>
  <c r="N18" i="2"/>
  <c r="N17" i="2" s="1"/>
  <c r="O18" i="2"/>
  <c r="O17" i="2" s="1"/>
  <c r="P18" i="2"/>
  <c r="P17" i="2" s="1"/>
  <c r="Q18" i="2"/>
  <c r="Q17" i="2" s="1"/>
  <c r="R18" i="2"/>
  <c r="R17" i="2" s="1"/>
  <c r="S18" i="2"/>
  <c r="S17" i="2" s="1"/>
  <c r="N10" i="2"/>
  <c r="O10" i="2"/>
  <c r="P10" i="2"/>
  <c r="Q10" i="2"/>
  <c r="R10" i="2"/>
  <c r="S10" i="2"/>
  <c r="N13" i="2"/>
  <c r="O13" i="2"/>
  <c r="P13" i="2"/>
  <c r="Q13" i="2"/>
  <c r="R13" i="2"/>
  <c r="S13" i="2"/>
  <c r="M13" i="2"/>
  <c r="M9" i="2" s="1"/>
  <c r="M122" i="2" s="1"/>
</calcChain>
</file>

<file path=xl/sharedStrings.xml><?xml version="1.0" encoding="utf-8"?>
<sst xmlns="http://schemas.openxmlformats.org/spreadsheetml/2006/main" count="479" uniqueCount="211">
  <si>
    <t>Код дохода</t>
  </si>
  <si>
    <t/>
  </si>
  <si>
    <t>Сумма на 2024 год</t>
  </si>
  <si>
    <t xml:space="preserve">      НАЛОГОВЫЕ И НЕНАЛОГОВЫЕ ДОХОДЫ</t>
  </si>
  <si>
    <t>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</si>
  <si>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</si>
  <si>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</si>
  <si>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</si>
  <si>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</si>
  <si>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</si>
  <si>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</si>
  <si>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</si>
  <si>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</si>
  <si>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</si>
  <si>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</si>
  <si>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</si>
  <si>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</si>
  <si>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</si>
  <si>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</si>
  <si>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</si>
  <si>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</si>
  <si>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</si>
  <si>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</si>
  <si>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</si>
  <si>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</si>
  <si>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</si>
  <si>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</si>
  <si>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</si>
  <si>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</si>
  <si>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</si>
  <si>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</si>
  <si>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</si>
  <si>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</si>
  <si>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</si>
  <si>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</si>
  <si>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</si>
  <si>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</si>
  <si>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</si>
  <si>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</si>
  <si>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</si>
  <si>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</si>
  <si>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</si>
  <si>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</si>
  <si>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</si>
  <si>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</si>
  <si>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</si>
  <si>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</si>
  <si>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</si>
  <si>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</si>
  <si>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</si>
  <si>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</si>
  <si>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</si>
  <si>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</si>
  <si>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</si>
  <si>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</si>
  <si>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</si>
  <si>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</si>
  <si>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</si>
  <si>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</si>
  <si>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</si>
  <si>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</si>
  <si>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1120104101</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</si>
  <si>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</si>
  <si>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</si>
  <si>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</si>
  <si>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</si>
  <si>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</si>
  <si>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</si>
  <si>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</si>
  <si>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</si>
  <si>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</si>
  <si>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</si>
  <si>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</si>
  <si>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</si>
  <si>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</si>
  <si>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</si>
  <si>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</si>
  <si>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</si>
  <si>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</si>
  <si>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</si>
  <si>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</si>
  <si>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</si>
  <si>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</si>
  <si>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</si>
  <si>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</si>
  <si>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</si>
  <si>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</si>
  <si>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</si>
  <si>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</si>
  <si>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</si>
  <si>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</si>
  <si>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</si>
  <si>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</si>
  <si>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</si>
  <si>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</si>
  <si>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</si>
  <si>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</si>
  <si>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</si>
  <si>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</si>
  <si>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</si>
  <si>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</si>
  <si>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</si>
  <si>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</si>
  <si>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</si>
  <si>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</si>
  <si>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</si>
  <si>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</si>
  <si>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</si>
  <si>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</si>
  <si>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</si>
  <si>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</si>
  <si>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</si>
  <si>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</si>
  <si>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</si>
  <si>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</si>
  <si>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</si>
  <si>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</si>
  <si>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</si>
  <si>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</si>
  <si>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</si>
  <si>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</si>
  <si>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</si>
  <si>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</si>
  <si>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</si>
  <si>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</si>
  <si>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</si>
  <si>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</si>
  <si>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</si>
  <si>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</si>
  <si>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</si>
  <si>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</si>
  <si>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"Муниципальный округ Ярский район Удмуртской Республики" на 2024 год и плановый период 2025 и 2026 годов</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</si>
  <si>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</si>
  <si>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</si>
  <si>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</si>
  <si>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</si>
  <si>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</si>
  <si>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</si>
  <si>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</si>
  <si>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</si>
  <si>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</si>
  <si>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</si>
  <si>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</si>
  <si>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</si>
  <si>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</si>
  <si>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</si>
  <si>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</si>
  <si>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</si>
  <si>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</si>
  <si>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</si>
  <si>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</si>
  <si>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</si>
  <si>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</si>
  <si>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</si>
  <si>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</si>
  <si>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</si>
  <si>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</si>
  <si>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</si>
  <si>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</si>
  <si>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</si>
  <si>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</si>
  <si>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</si>
  <si>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</si>
  <si>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</si>
  <si>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</si>
  <si>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</si>
  <si>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</si>
  <si>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</si>
  <si>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</si>
  <si>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</si>
  <si>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</si>
  <si>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</si>
  <si>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</si>
  <si>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</si>
  <si>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</si>
  <si>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</si>
  <si>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</si>
  <si>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</si>
  <si>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</si>
  <si>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</si>
  <si>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</si>
  <si>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</si>
  <si>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 xml:space="preserve">Межбюджетные трансферты из бюджета Удмуртской Республики бюджетам муниципальных образований </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</si>
  <si>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</si>
  <si>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</si>
  <si>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</si>
  <si>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Субсидия на подготовку проектов межевания земельных участков и на проведение кадастровых работ</t>
  </si>
  <si>
    <t>Субсидия бюджетам муниципальных округов на реализацию мероприятий по модернизации школьных систем образования</t>
  </si>
  <si>
    <t xml:space="preserve">Субсидии бюджетам муниципальных округов на проведение комплексных кадастровых работ </t>
  </si>
  <si>
    <t xml:space="preserve">            Единый налог на вмененный доход для отдельных видов деятельности</t>
  </si>
  <si>
    <t xml:space="preserve">            Дотации для стимулирования развития муниципальных образований</t>
  </si>
  <si>
    <t>Субсидии бюджетам муниципальных округов на реализацию мероприятий по организации отдыха детей в каникулярное время</t>
  </si>
  <si>
    <t xml:space="preserve">          Средства самообложения граждан</t>
  </si>
  <si>
    <t xml:space="preserve">            Средства самообложения граждан, зачисляемые в бюджеты муниципальных округов</t>
  </si>
  <si>
    <t xml:space="preserve">          Инициативные платежи</t>
  </si>
  <si>
    <t xml:space="preserve">            Инициативные платежи, зачисляемые в бюджеты муниципальных округов</t>
  </si>
  <si>
    <t>"+" / "-"</t>
  </si>
  <si>
    <t xml:space="preserve">Утверждено решением сессии Совета депутатов от 26.04.2024
№ 289
</t>
  </si>
  <si>
    <t>Субсидии бюджетам муниципальных округов на реализацию мероприятий по модернизации школьных систем образования</t>
  </si>
  <si>
    <t xml:space="preserve">Изменения в  структуре доходов бюджета муниципального образования  </t>
  </si>
  <si>
    <t xml:space="preserve">Утверждено решением сессии Совета депутатов от 12.09.2024
№ 308
</t>
  </si>
  <si>
    <t>Проект решения Совета депутатов от 25.12.2024г</t>
  </si>
  <si>
    <t>0130</t>
  </si>
  <si>
    <t>0102</t>
  </si>
  <si>
    <t xml:space="preserve">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 </t>
  </si>
  <si>
    <t xml:space="preserve">Субсидии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 </t>
  </si>
  <si>
    <t xml:space="preserve">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</si>
  <si>
    <t>Иной межбюджетный трансферт из бюджета Удмуртской Республики бюджетам муниципальных образований в Удмуртской Республике на дополнительную меру социальной поддержки семей граждан Российской Федерации, призванных на военную службу по мобилизации в Вооруженные Силы Российской Федерации, или проходящих военную службу по контракту, либо заключивших контракт о добровольном содействии в выполнении задач, возложенных на Вооруженные Силы Российской Федерации или войска национальной гвардии Российской Федерации,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 расположенных на территории Удмуртской Республики</t>
  </si>
  <si>
    <t>0101</t>
  </si>
  <si>
    <t>Субсидия на развитие общественных формирований правоохранительной напрвленности</t>
  </si>
  <si>
    <t>к пояснительной записке к проекту решения "О внесении изменений в решение Совета депутатов муниципального образования «Муниципальный округ Ярский район Удмуртской Республики» от 28.12.2023 № 270 «О бюджете муниципального образования «Муниципальный округ Ярский район Удмуртской Республики» на 2024 год и на плановый период 2025 и 2026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</si>
</sst>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sz val="10"/>
      <color rgb="FF000000"/>
      <name val="Times New Roman"/>
      <family val="1"/>
      <charset val="204"/>
    </font>
    <font>
      <b/>
      <sz val="10"/>
      <color rgb="FF000000"/>
      <name val="Times New Roman"/>
      <family val="1"/>
      <charset val="204"/>
    </font>
    <font>
      <b/>
      <sz val="11"/>
      <name val="Calibri"/>
      <family val="2"/>
      <scheme val="minor"/>
    </font>
    <font>
      <b/>
      <sz val="14"/>
      <name val="Times New Roman"/>
      <family val="1"/>
      <charset val="204"/>
    </font>
    <font>
      <b/>
      <sz val="12"/>
      <color rgb="FF000000"/>
      <name val="Times New Roman"/>
      <family val="1"/>
      <charset val="204"/>
    </font>
    <font>
      <b/>
      <sz val="12"/>
      <name val="Calibri"/>
      <family val="2"/>
      <scheme val="minor"/>
    </font>
    <font>
      <sz val="10"/>
      <name val="Arial Cyr"/>
    </font>
    <font>
      <b/>
      <sz val="10"/>
      <name val="Times New Roman"/>
      <family val="1"/>
      <charset val="204"/>
    </font>
    <font>
      <b/>
      <sz val="10"/>
      <name val="Arial Cyr"/>
    </font>
    <font>
      <b/>
      <sz val="12"/>
      <name val="Times New Roman"/>
      <family val="1"/>
      <charset val="204"/>
    </font>
    <font>
      <b/>
      <sz val="12"/>
      <name val="Arial Cyr"/>
    </font>
  </fonts>
  <fills count="9">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
      <patternFill patternType="solid">
        <fgColor theme="6" tint="0.59999389629810485"/>
        <bgColor indexed="64"/>
      </patternFill>
    </fill>
  </fills>
  <borders count="3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rgb="FF000000"/>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142">
    <xf numFmtId="0" fontId="0" fillId="0" borderId="0" xfId="0"/>
    <xf numFmtId="0" fontId="0" fillId="0" borderId="0" xfId="0" applyProtection="1">
      <protection locked="0"/>
    </xf>
    <xf numFmtId="0" fontId="6" fillId="0" borderId="2" xfId="5" applyFont="1">
      <alignment horizontal="center" vertical="center" wrapText="1"/>
    </xf>
    <xf numFmtId="1" fontId="6" fillId="0" borderId="3" xfId="8" applyFont="1">
      <alignment horizontal="center" vertical="top" shrinkToFit="1"/>
    </xf>
    <xf numFmtId="0" fontId="6" fillId="0" borderId="1" xfId="2" applyFont="1"/>
    <xf numFmtId="1" fontId="7" fillId="0" borderId="3" xfId="8" applyFont="1">
      <alignment horizontal="center" vertical="top" shrinkToFit="1"/>
    </xf>
    <xf numFmtId="0" fontId="8" fillId="0" borderId="0" xfId="0" applyFont="1" applyProtection="1">
      <protection locked="0"/>
    </xf>
    <xf numFmtId="0" fontId="5" fillId="0" borderId="0" xfId="0" applyFont="1" applyProtection="1">
      <protection locked="0"/>
    </xf>
    <xf numFmtId="1" fontId="6" fillId="0" borderId="9" xfId="8" applyFont="1" applyBorder="1">
      <alignment horizontal="center" vertical="top" shrinkToFit="1"/>
    </xf>
    <xf numFmtId="1" fontId="6" fillId="0" borderId="3" xfId="8" applyFont="1" applyAlignment="1">
      <alignment horizontal="center" vertical="center" shrinkToFit="1"/>
    </xf>
    <xf numFmtId="1" fontId="6" fillId="0" borderId="2" xfId="11" applyFont="1" applyAlignment="1">
      <alignment horizontal="center" vertical="center" shrinkToFit="1"/>
    </xf>
    <xf numFmtId="4" fontId="6" fillId="0" borderId="2" xfId="12" applyFont="1" applyFill="1" applyAlignment="1">
      <alignment horizontal="right" vertical="center" shrinkToFit="1"/>
    </xf>
    <xf numFmtId="4" fontId="6" fillId="0" borderId="8" xfId="12" applyFont="1" applyFill="1" applyBorder="1" applyAlignment="1">
      <alignment horizontal="right" vertical="center" shrinkToFit="1"/>
    </xf>
    <xf numFmtId="1" fontId="6" fillId="0" borderId="15" xfId="8" applyFont="1" applyBorder="1">
      <alignment horizontal="center" vertical="top" shrinkToFit="1"/>
    </xf>
    <xf numFmtId="1" fontId="7" fillId="0" borderId="2" xfId="11" applyFont="1" applyAlignment="1">
      <alignment horizontal="center" vertical="center" shrinkToFit="1"/>
    </xf>
    <xf numFmtId="1" fontId="6" fillId="0" borderId="8" xfId="11" applyFont="1" applyBorder="1" applyAlignment="1">
      <alignment horizontal="center" vertical="center" shrinkToFit="1"/>
    </xf>
    <xf numFmtId="1" fontId="6" fillId="0" borderId="14" xfId="11" applyFont="1" applyBorder="1" applyAlignment="1">
      <alignment horizontal="center" vertical="center" shrinkToFit="1"/>
    </xf>
    <xf numFmtId="4" fontId="6" fillId="0" borderId="2" xfId="15" applyFont="1" applyAlignment="1">
      <alignment horizontal="right" vertical="center" shrinkToFit="1"/>
    </xf>
    <xf numFmtId="4" fontId="7" fillId="0" borderId="2" xfId="12" applyFont="1" applyFill="1" applyAlignment="1">
      <alignment horizontal="right" vertical="center" shrinkToFit="1"/>
    </xf>
    <xf numFmtId="0" fontId="7" fillId="0" borderId="2" xfId="7" applyFont="1">
      <alignment vertical="top" wrapText="1"/>
    </xf>
    <xf numFmtId="0" fontId="6" fillId="0" borderId="2" xfId="7" applyFont="1">
      <alignment vertical="top" wrapText="1"/>
    </xf>
    <xf numFmtId="0" fontId="6" fillId="0" borderId="8" xfId="7" applyFont="1" applyBorder="1">
      <alignment vertical="top" wrapText="1"/>
    </xf>
    <xf numFmtId="0" fontId="6" fillId="0" borderId="14" xfId="7" applyFont="1" applyBorder="1">
      <alignment vertical="top" wrapText="1"/>
    </xf>
    <xf numFmtId="1" fontId="6" fillId="0" borderId="2" xfId="14" applyFont="1">
      <alignment vertical="top" wrapText="1"/>
    </xf>
    <xf numFmtId="0" fontId="6" fillId="0" borderId="2" xfId="7" applyFont="1" applyAlignment="1">
      <alignment vertical="center" wrapText="1"/>
    </xf>
    <xf numFmtId="1" fontId="6" fillId="0" borderId="2" xfId="14" applyFont="1" applyAlignment="1">
      <alignment vertical="center" wrapText="1"/>
    </xf>
    <xf numFmtId="1" fontId="7" fillId="0" borderId="4" xfId="9" applyFont="1" applyAlignment="1">
      <alignment horizontal="center" vertical="center" shrinkToFit="1"/>
    </xf>
    <xf numFmtId="1" fontId="7" fillId="0" borderId="5" xfId="10" applyFont="1" applyAlignment="1">
      <alignment horizontal="center" vertical="center" shrinkToFit="1"/>
    </xf>
    <xf numFmtId="1" fontId="6" fillId="0" borderId="4" xfId="9" applyFont="1" applyAlignment="1">
      <alignment horizontal="center" vertical="center" shrinkToFit="1"/>
    </xf>
    <xf numFmtId="1" fontId="6" fillId="0" borderId="5" xfId="10" applyFont="1" applyAlignment="1">
      <alignment horizontal="center" vertical="center" shrinkToFit="1"/>
    </xf>
    <xf numFmtId="49" fontId="6" fillId="0" borderId="4" xfId="9" applyNumberFormat="1" applyFont="1" applyAlignment="1">
      <alignment horizontal="center" vertical="center" shrinkToFit="1"/>
    </xf>
    <xf numFmtId="1" fontId="6" fillId="0" borderId="6" xfId="9" applyFont="1" applyBorder="1" applyAlignment="1">
      <alignment horizontal="center" vertical="center" shrinkToFit="1"/>
    </xf>
    <xf numFmtId="49" fontId="6" fillId="0" borderId="6" xfId="9" applyNumberFormat="1" applyFont="1" applyBorder="1" applyAlignment="1">
      <alignment horizontal="center" vertical="center" shrinkToFit="1"/>
    </xf>
    <xf numFmtId="1" fontId="6" fillId="0" borderId="10" xfId="10" applyFont="1" applyBorder="1" applyAlignment="1">
      <alignment horizontal="center" vertical="center" shrinkToFit="1"/>
    </xf>
    <xf numFmtId="1" fontId="6" fillId="0" borderId="16" xfId="9" applyFont="1" applyBorder="1" applyAlignment="1">
      <alignment horizontal="center" vertical="center" shrinkToFit="1"/>
    </xf>
    <xf numFmtId="49" fontId="6" fillId="0" borderId="16" xfId="9" applyNumberFormat="1" applyFont="1" applyBorder="1" applyAlignment="1">
      <alignment horizontal="center" vertical="center" shrinkToFit="1"/>
    </xf>
    <xf numFmtId="1" fontId="6" fillId="0" borderId="17" xfId="10" applyFont="1" applyBorder="1" applyAlignment="1">
      <alignment horizontal="center" vertical="center" shrinkToFit="1"/>
    </xf>
    <xf numFmtId="0" fontId="11" fillId="0" borderId="0" xfId="0" applyFont="1" applyProtection="1">
      <protection locked="0"/>
    </xf>
    <xf numFmtId="4" fontId="10" fillId="0" borderId="6" xfId="18" applyFont="1" applyFill="1" applyAlignment="1">
      <alignment horizontal="right" vertical="center" shrinkToFit="1"/>
    </xf>
    <xf numFmtId="1" fontId="6" fillId="0" borderId="18" xfId="11" applyFont="1" applyBorder="1" applyAlignment="1">
      <alignment horizontal="center" vertical="center" shrinkToFit="1"/>
    </xf>
    <xf numFmtId="1" fontId="6" fillId="0" borderId="1" xfId="8" applyFont="1" applyBorder="1">
      <alignment horizontal="center" vertical="top" shrinkToFit="1"/>
    </xf>
    <xf numFmtId="0" fontId="6" fillId="0" borderId="21" xfId="7" applyFont="1" applyBorder="1">
      <alignment vertical="top" wrapText="1"/>
    </xf>
    <xf numFmtId="1" fontId="6" fillId="0" borderId="20" xfId="11" applyFont="1" applyBorder="1" applyAlignment="1">
      <alignment horizontal="center" vertical="center" shrinkToFit="1"/>
    </xf>
    <xf numFmtId="1" fontId="6" fillId="0" borderId="22" xfId="9" applyFont="1" applyBorder="1" applyAlignment="1">
      <alignment horizontal="center" vertical="center" shrinkToFit="1"/>
    </xf>
    <xf numFmtId="1" fontId="6" fillId="0" borderId="23" xfId="10" applyFont="1" applyBorder="1" applyAlignment="1">
      <alignment horizontal="center" vertical="center" shrinkToFit="1"/>
    </xf>
    <xf numFmtId="1" fontId="6" fillId="0" borderId="19" xfId="11" applyFont="1" applyBorder="1" applyAlignment="1">
      <alignment horizontal="center" vertical="center" shrinkToFit="1"/>
    </xf>
    <xf numFmtId="4" fontId="6" fillId="0" borderId="21" xfId="12" applyFont="1" applyFill="1" applyBorder="1" applyAlignment="1">
      <alignment horizontal="right" vertical="center" shrinkToFit="1"/>
    </xf>
    <xf numFmtId="1" fontId="6" fillId="0" borderId="25" xfId="9" applyFont="1" applyBorder="1" applyAlignment="1">
      <alignment horizontal="center" vertical="center" shrinkToFit="1"/>
    </xf>
    <xf numFmtId="49" fontId="6" fillId="0" borderId="26" xfId="9" applyNumberFormat="1" applyFont="1" applyBorder="1" applyAlignment="1">
      <alignment horizontal="center" vertical="center" shrinkToFit="1"/>
    </xf>
    <xf numFmtId="1" fontId="6" fillId="0" borderId="27" xfId="10" applyFont="1" applyBorder="1" applyAlignment="1">
      <alignment horizontal="center" vertical="center" shrinkToFit="1"/>
    </xf>
    <xf numFmtId="49" fontId="6" fillId="0" borderId="5" xfId="10" applyNumberFormat="1" applyFont="1" applyAlignment="1">
      <alignment horizontal="center" vertical="center" shrinkToFit="1"/>
    </xf>
    <xf numFmtId="0" fontId="5" fillId="0" borderId="1" xfId="0" applyFont="1" applyBorder="1" applyAlignment="1" applyProtection="1">
      <alignment horizontal="right"/>
      <protection locked="0"/>
    </xf>
    <xf numFmtId="0" fontId="7" fillId="8" borderId="2" xfId="7" applyFont="1" applyFill="1">
      <alignment vertical="top" wrapText="1"/>
    </xf>
    <xf numFmtId="1" fontId="7" fillId="8" borderId="3" xfId="8" applyFont="1" applyFill="1">
      <alignment horizontal="center" vertical="top" shrinkToFit="1"/>
    </xf>
    <xf numFmtId="1" fontId="7" fillId="8" borderId="4" xfId="9" applyFont="1" applyFill="1" applyAlignment="1">
      <alignment horizontal="center" vertical="center" shrinkToFit="1"/>
    </xf>
    <xf numFmtId="1" fontId="7" fillId="8" borderId="5" xfId="10" applyFont="1" applyFill="1" applyAlignment="1">
      <alignment horizontal="center" vertical="center" shrinkToFit="1"/>
    </xf>
    <xf numFmtId="1" fontId="7" fillId="8" borderId="2" xfId="11" applyFont="1" applyFill="1" applyAlignment="1">
      <alignment horizontal="center" vertical="center" shrinkToFit="1"/>
    </xf>
    <xf numFmtId="4" fontId="7" fillId="8" borderId="2" xfId="12" applyFont="1" applyFill="1" applyAlignment="1">
      <alignment horizontal="right" vertical="center" shrinkToFit="1"/>
    </xf>
    <xf numFmtId="1" fontId="7" fillId="6" borderId="3" xfId="8" applyFont="1" applyFill="1">
      <alignment horizontal="center" vertical="top" shrinkToFit="1"/>
    </xf>
    <xf numFmtId="49" fontId="7" fillId="0" borderId="4" xfId="9" applyNumberFormat="1" applyFont="1" applyAlignment="1">
      <alignment horizontal="center" vertical="center" shrinkToFit="1"/>
    </xf>
    <xf numFmtId="1" fontId="7" fillId="6" borderId="2" xfId="11" applyFont="1" applyFill="1" applyAlignment="1">
      <alignment horizontal="center" vertical="center" shrinkToFit="1"/>
    </xf>
    <xf numFmtId="1" fontId="6" fillId="0" borderId="15" xfId="11" applyFont="1" applyBorder="1" applyAlignment="1">
      <alignment horizontal="center" vertical="center" shrinkToFit="1"/>
    </xf>
    <xf numFmtId="4" fontId="6" fillId="0" borderId="28" xfId="12" applyFont="1" applyFill="1" applyBorder="1" applyAlignment="1">
      <alignment horizontal="right" vertical="center" shrinkToFit="1"/>
    </xf>
    <xf numFmtId="4" fontId="6" fillId="0" borderId="23" xfId="12" applyFont="1" applyFill="1" applyBorder="1" applyAlignment="1">
      <alignment horizontal="right" vertical="center" shrinkToFit="1"/>
    </xf>
    <xf numFmtId="1" fontId="7" fillId="0" borderId="7" xfId="9" applyFont="1" applyBorder="1" applyAlignment="1">
      <alignment horizontal="center" vertical="center" shrinkToFit="1"/>
    </xf>
    <xf numFmtId="49" fontId="7" fillId="0" borderId="7" xfId="9" applyNumberFormat="1" applyFont="1" applyBorder="1" applyAlignment="1">
      <alignment horizontal="center" vertical="center" shrinkToFit="1"/>
    </xf>
    <xf numFmtId="1" fontId="7" fillId="0" borderId="13" xfId="10" applyFont="1" applyBorder="1" applyAlignment="1">
      <alignment horizontal="center" vertical="center" shrinkToFit="1"/>
    </xf>
    <xf numFmtId="1" fontId="7" fillId="7" borderId="11" xfId="11" applyFont="1" applyFill="1" applyBorder="1" applyAlignment="1">
      <alignment horizontal="center" vertical="center" shrinkToFit="1"/>
    </xf>
    <xf numFmtId="1" fontId="7" fillId="7" borderId="12" xfId="11" applyFont="1" applyFill="1" applyBorder="1" applyAlignment="1">
      <alignment horizontal="center" vertical="center" shrinkToFit="1"/>
    </xf>
    <xf numFmtId="4" fontId="7" fillId="0" borderId="13" xfId="12" applyFont="1" applyFill="1" applyBorder="1" applyAlignment="1">
      <alignment horizontal="right" vertical="center" shrinkToFit="1"/>
    </xf>
    <xf numFmtId="1" fontId="7" fillId="0" borderId="2" xfId="14" applyFont="1">
      <alignment vertical="top" wrapText="1"/>
    </xf>
    <xf numFmtId="4" fontId="7" fillId="0" borderId="2" xfId="15" applyFont="1" applyAlignment="1">
      <alignment horizontal="right" vertical="center" shrinkToFit="1"/>
    </xf>
    <xf numFmtId="1" fontId="7" fillId="7" borderId="7" xfId="8" applyFont="1" applyFill="1" applyBorder="1">
      <alignment horizontal="center" vertical="top" shrinkToFit="1"/>
    </xf>
    <xf numFmtId="0" fontId="6" fillId="0" borderId="26" xfId="7" applyFont="1" applyBorder="1">
      <alignment vertical="top" wrapText="1"/>
    </xf>
    <xf numFmtId="0" fontId="6" fillId="0" borderId="11" xfId="7" applyFont="1" applyBorder="1">
      <alignment vertical="top" wrapText="1"/>
    </xf>
    <xf numFmtId="0" fontId="6" fillId="0" borderId="30" xfId="7" applyFont="1" applyBorder="1">
      <alignment vertical="top" wrapText="1"/>
    </xf>
    <xf numFmtId="4" fontId="6" fillId="0" borderId="30" xfId="12" applyFont="1" applyFill="1" applyBorder="1" applyAlignment="1">
      <alignment horizontal="right" vertical="center" shrinkToFit="1"/>
    </xf>
    <xf numFmtId="0" fontId="7" fillId="0" borderId="29" xfId="7" applyFont="1" applyBorder="1">
      <alignment vertical="top" wrapText="1"/>
    </xf>
    <xf numFmtId="1" fontId="6" fillId="0" borderId="21" xfId="8" applyFont="1" applyBorder="1">
      <alignment horizontal="center" vertical="top" shrinkToFit="1"/>
    </xf>
    <xf numFmtId="1" fontId="6" fillId="0" borderId="21" xfId="11" applyFont="1" applyBorder="1" applyAlignment="1">
      <alignment horizontal="center" vertical="center" shrinkToFit="1"/>
    </xf>
    <xf numFmtId="0" fontId="5" fillId="0" borderId="22" xfId="4" applyFont="1" applyBorder="1" applyAlignment="1">
      <alignment horizontal="center" vertical="center" wrapText="1"/>
    </xf>
    <xf numFmtId="49" fontId="5" fillId="0" borderId="16" xfId="4" applyNumberFormat="1" applyFont="1" applyBorder="1" applyAlignment="1">
      <alignment vertical="center" wrapText="1"/>
    </xf>
    <xf numFmtId="0" fontId="5" fillId="0" borderId="23" xfId="4" applyFont="1" applyBorder="1" applyAlignment="1">
      <alignment vertical="center" wrapText="1"/>
    </xf>
    <xf numFmtId="0" fontId="5" fillId="0" borderId="2" xfId="5" applyFont="1">
      <alignment horizontal="center" vertical="center" wrapText="1"/>
    </xf>
    <xf numFmtId="0" fontId="12" fillId="0" borderId="1" xfId="2" applyFont="1"/>
    <xf numFmtId="4" fontId="13" fillId="8" borderId="2" xfId="12" applyFont="1" applyFill="1" applyAlignment="1">
      <alignment horizontal="right" vertical="center" shrinkToFit="1"/>
    </xf>
    <xf numFmtId="4" fontId="13" fillId="8" borderId="2" xfId="13" applyFont="1" applyFill="1" applyAlignment="1">
      <alignment horizontal="right" vertical="center" shrinkToFit="1"/>
    </xf>
    <xf numFmtId="0" fontId="14" fillId="8" borderId="1" xfId="2" applyFont="1" applyFill="1"/>
    <xf numFmtId="4" fontId="13" fillId="8" borderId="21" xfId="12" applyFont="1" applyFill="1" applyBorder="1" applyAlignment="1">
      <alignment horizontal="right" vertical="center" shrinkToFit="1"/>
    </xf>
    <xf numFmtId="4" fontId="13" fillId="0" borderId="2" xfId="12" applyFont="1" applyFill="1" applyAlignment="1">
      <alignment horizontal="right" vertical="center" shrinkToFit="1"/>
    </xf>
    <xf numFmtId="0" fontId="14" fillId="0" borderId="1" xfId="2" applyFont="1"/>
    <xf numFmtId="4" fontId="13" fillId="0" borderId="21" xfId="12" applyFont="1" applyFill="1" applyBorder="1" applyAlignment="1">
      <alignment horizontal="right" vertical="center" shrinkToFit="1"/>
    </xf>
    <xf numFmtId="4" fontId="5" fillId="0" borderId="2" xfId="12" applyFont="1" applyFill="1" applyAlignment="1">
      <alignment horizontal="right" vertical="center" shrinkToFit="1"/>
    </xf>
    <xf numFmtId="4" fontId="5" fillId="0" borderId="2" xfId="13" applyFont="1" applyFill="1" applyAlignment="1">
      <alignment horizontal="right" vertical="center" shrinkToFit="1"/>
    </xf>
    <xf numFmtId="4" fontId="5" fillId="0" borderId="21" xfId="12" applyFont="1" applyFill="1" applyBorder="1" applyAlignment="1">
      <alignment horizontal="right" vertical="center" shrinkToFit="1"/>
    </xf>
    <xf numFmtId="4" fontId="13" fillId="0" borderId="2" xfId="13" applyFont="1" applyFill="1" applyAlignment="1">
      <alignment horizontal="right" vertical="center" shrinkToFit="1"/>
    </xf>
    <xf numFmtId="4" fontId="5" fillId="0" borderId="8" xfId="12" applyFont="1" applyFill="1" applyBorder="1" applyAlignment="1">
      <alignment horizontal="right" vertical="center" shrinkToFit="1"/>
    </xf>
    <xf numFmtId="4" fontId="5" fillId="0" borderId="8" xfId="13" applyFont="1" applyFill="1" applyBorder="1" applyAlignment="1">
      <alignment horizontal="right" vertical="center" shrinkToFit="1"/>
    </xf>
    <xf numFmtId="4" fontId="5" fillId="0" borderId="28" xfId="12" applyFont="1" applyFill="1" applyBorder="1" applyAlignment="1">
      <alignment horizontal="right" vertical="center" shrinkToFit="1"/>
    </xf>
    <xf numFmtId="4" fontId="5" fillId="0" borderId="24" xfId="13" applyFont="1" applyFill="1" applyBorder="1" applyAlignment="1">
      <alignment horizontal="right" vertical="center" shrinkToFit="1"/>
    </xf>
    <xf numFmtId="4" fontId="5" fillId="0" borderId="23" xfId="12" applyFont="1" applyFill="1" applyBorder="1" applyAlignment="1">
      <alignment horizontal="right" vertical="center" shrinkToFit="1"/>
    </xf>
    <xf numFmtId="4" fontId="5" fillId="0" borderId="21" xfId="13" applyFont="1" applyFill="1" applyBorder="1" applyAlignment="1">
      <alignment horizontal="right" vertical="center" shrinkToFit="1"/>
    </xf>
    <xf numFmtId="0" fontId="12" fillId="0" borderId="22" xfId="2" applyFont="1" applyBorder="1"/>
    <xf numFmtId="4" fontId="5" fillId="0" borderId="30" xfId="12" applyFont="1" applyFill="1" applyBorder="1" applyAlignment="1">
      <alignment horizontal="right" vertical="center" shrinkToFit="1"/>
    </xf>
    <xf numFmtId="4" fontId="5" fillId="0" borderId="30" xfId="13" applyFont="1" applyFill="1" applyBorder="1" applyAlignment="1">
      <alignment horizontal="right" vertical="center" shrinkToFit="1"/>
    </xf>
    <xf numFmtId="0" fontId="12" fillId="0" borderId="30" xfId="2" applyFont="1" applyBorder="1"/>
    <xf numFmtId="0" fontId="12" fillId="0" borderId="21" xfId="2" applyFont="1" applyBorder="1"/>
    <xf numFmtId="4" fontId="13" fillId="0" borderId="13" xfId="12" applyFont="1" applyFill="1" applyBorder="1" applyAlignment="1">
      <alignment horizontal="right" vertical="center" shrinkToFit="1"/>
    </xf>
    <xf numFmtId="4" fontId="13" fillId="0" borderId="11" xfId="12" applyFont="1" applyFill="1" applyBorder="1" applyAlignment="1">
      <alignment horizontal="right" vertical="center" shrinkToFit="1"/>
    </xf>
    <xf numFmtId="4" fontId="13" fillId="0" borderId="29" xfId="12" applyFont="1" applyFill="1" applyBorder="1" applyAlignment="1">
      <alignment horizontal="right" vertical="center" shrinkToFit="1"/>
    </xf>
    <xf numFmtId="4" fontId="5" fillId="0" borderId="2" xfId="15" applyFont="1" applyAlignment="1">
      <alignment horizontal="right" vertical="center" shrinkToFit="1"/>
    </xf>
    <xf numFmtId="0" fontId="12" fillId="0" borderId="1" xfId="16" applyFont="1">
      <alignment vertical="top"/>
    </xf>
    <xf numFmtId="4" fontId="5" fillId="0" borderId="21" xfId="15" applyFont="1" applyBorder="1" applyAlignment="1">
      <alignment horizontal="right" vertical="center" shrinkToFit="1"/>
    </xf>
    <xf numFmtId="4" fontId="13" fillId="0" borderId="2" xfId="15" applyFont="1" applyAlignment="1">
      <alignment horizontal="right" vertical="center" shrinkToFit="1"/>
    </xf>
    <xf numFmtId="0" fontId="14" fillId="0" borderId="1" xfId="16" applyFont="1">
      <alignment vertical="top"/>
    </xf>
    <xf numFmtId="4" fontId="13" fillId="0" borderId="21" xfId="15" applyFont="1" applyBorder="1" applyAlignment="1">
      <alignment horizontal="right" vertical="center" shrinkToFit="1"/>
    </xf>
    <xf numFmtId="4" fontId="15" fillId="0" borderId="6" xfId="18" applyFont="1" applyFill="1" applyAlignment="1">
      <alignment horizontal="right" vertical="center" shrinkToFit="1"/>
    </xf>
    <xf numFmtId="4" fontId="15" fillId="0" borderId="6" xfId="18" applyFont="1" applyFill="1">
      <alignment horizontal="right" vertical="top" shrinkToFit="1"/>
    </xf>
    <xf numFmtId="0" fontId="16" fillId="0" borderId="1" xfId="2" applyFont="1"/>
    <xf numFmtId="4" fontId="15" fillId="0" borderId="1" xfId="18" applyFont="1" applyFill="1" applyBorder="1" applyAlignment="1">
      <alignment horizontal="right" vertical="center" shrinkToFit="1"/>
    </xf>
    <xf numFmtId="0" fontId="5" fillId="0" borderId="1" xfId="2" applyFont="1"/>
    <xf numFmtId="4" fontId="5" fillId="0" borderId="0" xfId="0" applyNumberFormat="1" applyFont="1" applyProtection="1">
      <protection locked="0"/>
    </xf>
    <xf numFmtId="1" fontId="6" fillId="0" borderId="1" xfId="11" applyFont="1" applyBorder="1" applyAlignment="1">
      <alignment horizontal="center" vertical="center" shrinkToFit="1"/>
    </xf>
    <xf numFmtId="0" fontId="5" fillId="0" borderId="1" xfId="0" applyFont="1" applyBorder="1" applyAlignment="1" applyProtection="1">
      <alignment horizontal="right"/>
      <protection locked="0"/>
    </xf>
    <xf numFmtId="0" fontId="6" fillId="0" borderId="9" xfId="6" applyFont="1" applyBorder="1">
      <alignment horizontal="center" vertical="center" wrapText="1"/>
    </xf>
    <xf numFmtId="0" fontId="6" fillId="0" borderId="6" xfId="6" applyFont="1" applyBorder="1">
      <alignment horizontal="center" vertical="center" wrapText="1"/>
    </xf>
    <xf numFmtId="0" fontId="6" fillId="0" borderId="10" xfId="6" applyFont="1" applyBorder="1">
      <alignment horizontal="center" vertical="center" wrapText="1"/>
    </xf>
    <xf numFmtId="0" fontId="6" fillId="0" borderId="12" xfId="6" applyFont="1" applyBorder="1">
      <alignment horizontal="center" vertical="center" wrapText="1"/>
    </xf>
    <xf numFmtId="0" fontId="6" fillId="0" borderId="7" xfId="6" applyFont="1" applyBorder="1">
      <alignment horizontal="center" vertical="center" wrapText="1"/>
    </xf>
    <xf numFmtId="0" fontId="6" fillId="0" borderId="13" xfId="6" applyFont="1" applyBorder="1">
      <alignment horizontal="center" vertical="center" wrapText="1"/>
    </xf>
    <xf numFmtId="0" fontId="6" fillId="0" borderId="8" xfId="5" applyFont="1" applyBorder="1">
      <alignment horizontal="center" vertical="center" wrapText="1"/>
    </xf>
    <xf numFmtId="0" fontId="6" fillId="0" borderId="11" xfId="5" applyFont="1" applyBorder="1">
      <alignment horizontal="center" vertical="center" wrapText="1"/>
    </xf>
    <xf numFmtId="0" fontId="6" fillId="0" borderId="3" xfId="5" applyFont="1" applyBorder="1">
      <alignment horizontal="center" vertical="center" wrapText="1"/>
    </xf>
    <xf numFmtId="0" fontId="6" fillId="0" borderId="4" xfId="5" applyFont="1" applyBorder="1">
      <alignment horizontal="center" vertical="center" wrapText="1"/>
    </xf>
    <xf numFmtId="0" fontId="6" fillId="0" borderId="5" xfId="5" applyFont="1" applyBorder="1">
      <alignment horizontal="center" vertical="center" wrapText="1"/>
    </xf>
    <xf numFmtId="0" fontId="5" fillId="0" borderId="21" xfId="5" applyFont="1" applyBorder="1">
      <alignment horizontal="center" vertical="center" wrapText="1"/>
    </xf>
    <xf numFmtId="49" fontId="5" fillId="0" borderId="1" xfId="0" applyNumberFormat="1" applyFont="1" applyBorder="1" applyAlignment="1" applyProtection="1">
      <alignment horizontal="right" wrapText="1"/>
      <protection locked="0"/>
    </xf>
    <xf numFmtId="0" fontId="10" fillId="0" borderId="6" xfId="17" applyFont="1" applyAlignment="1">
      <alignment horizontal="right" vertical="center"/>
    </xf>
    <xf numFmtId="0" fontId="6" fillId="0" borderId="1" xfId="4" applyFont="1">
      <alignment horizontal="left" wrapText="1"/>
    </xf>
    <xf numFmtId="0" fontId="6" fillId="0" borderId="1" xfId="1" applyFont="1" applyAlignment="1">
      <alignment horizontal="right"/>
    </xf>
    <xf numFmtId="0" fontId="9" fillId="0" borderId="0" xfId="0" applyFont="1" applyAlignment="1" applyProtection="1">
      <alignment horizontal="center"/>
      <protection locked="0"/>
    </xf>
    <xf numFmtId="49" fontId="9" fillId="0" borderId="0" xfId="0" applyNumberFormat="1" applyFont="1" applyAlignment="1" applyProtection="1">
      <alignment horizontal="center" wrapText="1"/>
      <protection locked="0"/>
    </xf>
  </cellXfs>
  <cellStyles count="29">
    <cellStyle name="br" xfId="22" xr:uid="{00000000-0005-0000-0000-000000000000}"/>
    <cellStyle name="col" xfId="21" xr:uid="{00000000-0005-0000-0000-000001000000}"/>
    <cellStyle name="style0" xfId="23" xr:uid="{00000000-0005-0000-0000-000002000000}"/>
    <cellStyle name="td" xfId="24" xr:uid="{00000000-0005-0000-0000-000003000000}"/>
    <cellStyle name="tr" xfId="20" xr:uid="{00000000-0005-0000-0000-000004000000}"/>
    <cellStyle name="xl21" xfId="25" xr:uid="{00000000-0005-0000-0000-000005000000}"/>
    <cellStyle name="xl22" xfId="5" xr:uid="{00000000-0005-0000-0000-000006000000}"/>
    <cellStyle name="xl23" xfId="14" xr:uid="{00000000-0005-0000-0000-000007000000}"/>
    <cellStyle name="xl24" xfId="2" xr:uid="{00000000-0005-0000-0000-000008000000}"/>
    <cellStyle name="xl25" xfId="8" xr:uid="{00000000-0005-0000-0000-000009000000}"/>
    <cellStyle name="xl26" xfId="26" xr:uid="{00000000-0005-0000-0000-00000A000000}"/>
    <cellStyle name="xl27" xfId="9" xr:uid="{00000000-0005-0000-0000-00000B000000}"/>
    <cellStyle name="xl28" xfId="6" xr:uid="{00000000-0005-0000-0000-00000C000000}"/>
    <cellStyle name="xl29" xfId="10" xr:uid="{00000000-0005-0000-0000-00000D000000}"/>
    <cellStyle name="xl30" xfId="11" xr:uid="{00000000-0005-0000-0000-00000E000000}"/>
    <cellStyle name="xl31" xfId="17" xr:uid="{00000000-0005-0000-0000-00000F000000}"/>
    <cellStyle name="xl32" xfId="15" xr:uid="{00000000-0005-0000-0000-000010000000}"/>
    <cellStyle name="xl33" xfId="27" xr:uid="{00000000-0005-0000-0000-000011000000}"/>
    <cellStyle name="xl34" xfId="18" xr:uid="{00000000-0005-0000-0000-000012000000}"/>
    <cellStyle name="xl35" xfId="19" xr:uid="{00000000-0005-0000-0000-000013000000}"/>
    <cellStyle name="xl36" xfId="1" xr:uid="{00000000-0005-0000-0000-000014000000}"/>
    <cellStyle name="xl37" xfId="3" xr:uid="{00000000-0005-0000-0000-000015000000}"/>
    <cellStyle name="xl38" xfId="4" xr:uid="{00000000-0005-0000-0000-000016000000}"/>
    <cellStyle name="xl39" xfId="16" xr:uid="{00000000-0005-0000-0000-000017000000}"/>
    <cellStyle name="xl40" xfId="7" xr:uid="{00000000-0005-0000-0000-000018000000}"/>
    <cellStyle name="xl41" xfId="28" xr:uid="{00000000-0005-0000-0000-000019000000}"/>
    <cellStyle name="xl42" xfId="12" xr:uid="{00000000-0005-0000-0000-00001A000000}"/>
    <cellStyle name="xl43" xfId="13" xr:uid="{00000000-0005-0000-0000-00001B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6"/>
  <sheetViews>
    <sheetView showGridLines="0" tabSelected="1" zoomScale="90" zoomScaleNormal="90" zoomScaleSheetLayoutView="100" workbookViewId="0">
      <pane ySplit="8" topLeftCell="A9" activePane="bottomLeft" state="frozen"/>
      <selection pane="bottomLeft" activeCell="A4" sqref="A4:Z4"/>
    </sheetView>
  </sheetViews>
  <sheetFormatPr defaultColWidth="8.85546875" defaultRowHeight="15" outlineLevelRow="4" x14ac:dyDescent="0.25"/>
  <cols>
    <col min="1" max="1" width="74" style="7" customWidth="1"/>
    <col min="2" max="2" width="3.7109375" style="7" hidden="1" customWidth="1"/>
    <col min="3" max="3" width="11.140625" style="7" bestFit="1" customWidth="1"/>
    <col min="4" max="4" width="4.7109375" style="7" customWidth="1"/>
    <col min="5" max="5" width="3.7109375" style="7" customWidth="1"/>
    <col min="6" max="10" width="8.85546875" style="7" hidden="1"/>
    <col min="11" max="11" width="15.42578125" style="7" bestFit="1" customWidth="1"/>
    <col min="12" max="12" width="14.28515625" style="7" bestFit="1" customWidth="1"/>
    <col min="13" max="13" width="15.42578125" style="7" bestFit="1" customWidth="1"/>
    <col min="14" max="19" width="8.85546875" style="7" hidden="1"/>
    <col min="20" max="20" width="8.85546875" style="1" hidden="1"/>
    <col min="21" max="21" width="15.42578125" style="1" bestFit="1" customWidth="1"/>
    <col min="22" max="22" width="14.28515625" style="1" bestFit="1" customWidth="1"/>
    <col min="23" max="24" width="15.42578125" style="1" bestFit="1" customWidth="1"/>
    <col min="25" max="25" width="13.140625" style="1" bestFit="1" customWidth="1"/>
    <col min="26" max="26" width="15.42578125" style="1" bestFit="1" customWidth="1"/>
    <col min="27" max="27" width="8.85546875" style="1"/>
    <col min="28" max="28" width="13.28515625" style="1" bestFit="1" customWidth="1"/>
    <col min="29" max="16384" width="8.85546875" style="1"/>
  </cols>
  <sheetData>
    <row r="1" spans="1:26" x14ac:dyDescent="0.25">
      <c r="A1" s="123" t="s">
        <v>130</v>
      </c>
      <c r="B1" s="123"/>
      <c r="C1" s="123"/>
      <c r="D1" s="123"/>
      <c r="E1" s="123"/>
      <c r="F1" s="123"/>
      <c r="G1" s="123"/>
      <c r="H1" s="123"/>
      <c r="I1" s="123"/>
      <c r="J1" s="123"/>
      <c r="K1" s="123"/>
      <c r="L1" s="123"/>
      <c r="M1" s="123"/>
      <c r="N1" s="123"/>
      <c r="O1" s="123"/>
      <c r="P1" s="123"/>
      <c r="Q1" s="123"/>
      <c r="R1" s="123"/>
      <c r="S1" s="123"/>
      <c r="T1" s="123"/>
      <c r="U1" s="123"/>
      <c r="V1" s="123"/>
      <c r="W1" s="123"/>
      <c r="X1" s="123"/>
      <c r="Y1" s="123"/>
      <c r="Z1" s="123"/>
    </row>
    <row r="2" spans="1:26" ht="63" customHeight="1" x14ac:dyDescent="0.25">
      <c r="A2" s="51"/>
      <c r="B2" s="51"/>
      <c r="C2" s="51"/>
      <c r="D2" s="51"/>
      <c r="E2" s="51"/>
      <c r="F2" s="51"/>
      <c r="G2" s="51"/>
      <c r="H2" s="51"/>
      <c r="I2" s="51"/>
      <c r="J2" s="51"/>
      <c r="K2" s="51"/>
      <c r="L2" s="51"/>
      <c r="M2" s="51"/>
      <c r="N2" s="51"/>
      <c r="O2" s="51"/>
      <c r="P2" s="51"/>
      <c r="Q2" s="51"/>
      <c r="R2" s="51"/>
      <c r="S2" s="51"/>
      <c r="T2" s="51"/>
      <c r="U2" s="51"/>
      <c r="V2" s="136" t="s">
        <v>210</v>
      </c>
      <c r="W2" s="136"/>
      <c r="X2" s="136"/>
      <c r="Y2" s="136"/>
      <c r="Z2" s="136"/>
    </row>
    <row r="3" spans="1:26" x14ac:dyDescent="0.25">
      <c r="A3" s="51"/>
      <c r="B3" s="51"/>
      <c r="C3" s="51"/>
      <c r="D3" s="51"/>
      <c r="E3" s="51"/>
      <c r="F3" s="51"/>
      <c r="G3" s="51"/>
      <c r="H3" s="51"/>
      <c r="I3" s="51"/>
      <c r="J3" s="51"/>
      <c r="K3" s="51"/>
      <c r="L3" s="51"/>
      <c r="M3" s="51"/>
      <c r="N3" s="51"/>
      <c r="O3" s="51"/>
      <c r="P3" s="51"/>
      <c r="Q3" s="51"/>
      <c r="R3" s="51"/>
      <c r="S3" s="51"/>
      <c r="T3" s="51"/>
      <c r="U3" s="51"/>
      <c r="V3" s="51"/>
      <c r="W3" s="51"/>
      <c r="X3" s="51"/>
      <c r="Y3" s="51"/>
      <c r="Z3" s="51"/>
    </row>
    <row r="4" spans="1:26" ht="18.75" x14ac:dyDescent="0.3">
      <c r="A4" s="140" t="s">
        <v>199</v>
      </c>
      <c r="B4" s="140"/>
      <c r="C4" s="140"/>
      <c r="D4" s="140"/>
      <c r="E4" s="140"/>
      <c r="F4" s="140"/>
      <c r="G4" s="140"/>
      <c r="H4" s="140"/>
      <c r="I4" s="140"/>
      <c r="J4" s="140"/>
      <c r="K4" s="140"/>
      <c r="L4" s="140"/>
      <c r="M4" s="140"/>
      <c r="N4" s="140"/>
      <c r="O4" s="140"/>
      <c r="P4" s="140"/>
      <c r="Q4" s="140"/>
      <c r="R4" s="140"/>
      <c r="S4" s="140"/>
      <c r="T4" s="140"/>
      <c r="U4" s="140"/>
      <c r="V4" s="140"/>
      <c r="W4" s="140"/>
      <c r="X4" s="140"/>
      <c r="Y4" s="140"/>
      <c r="Z4" s="140"/>
    </row>
    <row r="5" spans="1:26" ht="18.75" x14ac:dyDescent="0.3">
      <c r="A5" s="141" t="s">
        <v>131</v>
      </c>
      <c r="B5" s="141"/>
      <c r="C5" s="141"/>
      <c r="D5" s="141"/>
      <c r="E5" s="141"/>
      <c r="F5" s="141"/>
      <c r="G5" s="141"/>
      <c r="H5" s="141"/>
      <c r="I5" s="141"/>
      <c r="J5" s="141"/>
      <c r="K5" s="141"/>
      <c r="L5" s="141"/>
      <c r="M5" s="141"/>
      <c r="N5" s="141"/>
      <c r="O5" s="141"/>
      <c r="P5" s="141"/>
      <c r="Q5" s="141"/>
      <c r="R5" s="141"/>
      <c r="S5" s="141"/>
      <c r="T5" s="141"/>
      <c r="U5" s="141"/>
      <c r="V5" s="141"/>
      <c r="W5" s="141"/>
      <c r="X5" s="141"/>
      <c r="Y5" s="141"/>
      <c r="Z5" s="141"/>
    </row>
    <row r="6" spans="1:26" x14ac:dyDescent="0.25">
      <c r="A6" s="139" t="s">
        <v>133</v>
      </c>
      <c r="B6" s="139"/>
      <c r="C6" s="139"/>
      <c r="D6" s="139"/>
      <c r="E6" s="139"/>
      <c r="F6" s="139"/>
      <c r="G6" s="139"/>
      <c r="H6" s="139"/>
      <c r="I6" s="139"/>
      <c r="J6" s="139"/>
      <c r="K6" s="139"/>
      <c r="L6" s="139"/>
      <c r="M6" s="139"/>
      <c r="N6" s="139"/>
      <c r="O6" s="139"/>
      <c r="P6" s="139"/>
      <c r="Q6" s="139"/>
      <c r="R6" s="139"/>
      <c r="S6" s="139"/>
      <c r="T6" s="139"/>
      <c r="U6" s="139"/>
      <c r="V6" s="139"/>
      <c r="W6" s="139"/>
      <c r="X6" s="139"/>
      <c r="Y6" s="139"/>
      <c r="Z6" s="139"/>
    </row>
    <row r="7" spans="1:26" x14ac:dyDescent="0.25">
      <c r="A7" s="130" t="s">
        <v>132</v>
      </c>
      <c r="B7" s="124" t="s">
        <v>0</v>
      </c>
      <c r="C7" s="125"/>
      <c r="D7" s="125"/>
      <c r="E7" s="126"/>
      <c r="F7" s="2" t="s">
        <v>1</v>
      </c>
      <c r="G7" s="2" t="s">
        <v>1</v>
      </c>
      <c r="H7" s="2" t="s">
        <v>1</v>
      </c>
      <c r="I7" s="2" t="s">
        <v>1</v>
      </c>
      <c r="J7" s="2" t="s">
        <v>1</v>
      </c>
      <c r="K7" s="132" t="s">
        <v>2</v>
      </c>
      <c r="L7" s="133"/>
      <c r="M7" s="134"/>
      <c r="N7" s="83" t="s">
        <v>1</v>
      </c>
      <c r="O7" s="83" t="s">
        <v>1</v>
      </c>
      <c r="P7" s="83" t="s">
        <v>1</v>
      </c>
      <c r="Q7" s="83" t="s">
        <v>1</v>
      </c>
      <c r="R7" s="83" t="s">
        <v>1</v>
      </c>
      <c r="S7" s="83" t="s">
        <v>1</v>
      </c>
      <c r="T7" s="84"/>
      <c r="U7" s="135" t="s">
        <v>178</v>
      </c>
      <c r="V7" s="135"/>
      <c r="W7" s="135"/>
      <c r="X7" s="135" t="s">
        <v>179</v>
      </c>
      <c r="Y7" s="135"/>
      <c r="Z7" s="135"/>
    </row>
    <row r="8" spans="1:26" ht="76.5" x14ac:dyDescent="0.25">
      <c r="A8" s="131"/>
      <c r="B8" s="127"/>
      <c r="C8" s="128"/>
      <c r="D8" s="128"/>
      <c r="E8" s="129"/>
      <c r="F8" s="2"/>
      <c r="G8" s="2"/>
      <c r="H8" s="2"/>
      <c r="I8" s="2"/>
      <c r="J8" s="2"/>
      <c r="K8" s="2" t="s">
        <v>200</v>
      </c>
      <c r="L8" s="2" t="s">
        <v>196</v>
      </c>
      <c r="M8" s="83" t="s">
        <v>201</v>
      </c>
      <c r="N8" s="83"/>
      <c r="O8" s="83"/>
      <c r="P8" s="83"/>
      <c r="Q8" s="83"/>
      <c r="R8" s="83"/>
      <c r="S8" s="83"/>
      <c r="T8" s="84"/>
      <c r="U8" s="83" t="s">
        <v>197</v>
      </c>
      <c r="V8" s="83" t="s">
        <v>196</v>
      </c>
      <c r="W8" s="83" t="s">
        <v>201</v>
      </c>
      <c r="X8" s="83" t="s">
        <v>197</v>
      </c>
      <c r="Y8" s="83" t="s">
        <v>196</v>
      </c>
      <c r="Z8" s="83" t="s">
        <v>201</v>
      </c>
    </row>
    <row r="9" spans="1:26" s="6" customFormat="1" x14ac:dyDescent="0.25">
      <c r="A9" s="52" t="s">
        <v>3</v>
      </c>
      <c r="B9" s="53" t="s">
        <v>4</v>
      </c>
      <c r="C9" s="54">
        <v>1000000000</v>
      </c>
      <c r="D9" s="54" t="s">
        <v>5</v>
      </c>
      <c r="E9" s="55" t="s">
        <v>4</v>
      </c>
      <c r="F9" s="56"/>
      <c r="G9" s="56"/>
      <c r="H9" s="56"/>
      <c r="I9" s="56"/>
      <c r="J9" s="56"/>
      <c r="K9" s="57">
        <f>K10+K13+K17+K24+K30+K32+K34+K41+K46+K51+K54+K39</f>
        <v>169631722.90000001</v>
      </c>
      <c r="L9" s="57">
        <f>L10+L13+L17+L24+L30+L32+L34+L41+L46+L51+L54+L39</f>
        <v>0</v>
      </c>
      <c r="M9" s="85">
        <f>M10+M13+M17+M24+M30+M32+M34+M41+M46+M51+M54+M39</f>
        <v>169631722.90000001</v>
      </c>
      <c r="N9" s="86">
        <v>156900400</v>
      </c>
      <c r="O9" s="86">
        <v>0</v>
      </c>
      <c r="P9" s="86">
        <v>156900400</v>
      </c>
      <c r="Q9" s="86">
        <v>0</v>
      </c>
      <c r="R9" s="86">
        <v>156900400</v>
      </c>
      <c r="S9" s="86">
        <v>0</v>
      </c>
      <c r="T9" s="87"/>
      <c r="U9" s="88">
        <v>165803000</v>
      </c>
      <c r="V9" s="88"/>
      <c r="W9" s="88">
        <v>165803000</v>
      </c>
      <c r="X9" s="88">
        <v>181922700</v>
      </c>
      <c r="Y9" s="88"/>
      <c r="Z9" s="88">
        <v>181922700</v>
      </c>
    </row>
    <row r="10" spans="1:26" s="6" customFormat="1" outlineLevel="1" x14ac:dyDescent="0.25">
      <c r="A10" s="19" t="s">
        <v>6</v>
      </c>
      <c r="B10" s="5" t="s">
        <v>4</v>
      </c>
      <c r="C10" s="26" t="s">
        <v>7</v>
      </c>
      <c r="D10" s="26" t="s">
        <v>5</v>
      </c>
      <c r="E10" s="27" t="s">
        <v>4</v>
      </c>
      <c r="F10" s="14"/>
      <c r="G10" s="14"/>
      <c r="H10" s="14"/>
      <c r="I10" s="14"/>
      <c r="J10" s="14"/>
      <c r="K10" s="18">
        <f t="shared" ref="K10:L11" si="0">K11</f>
        <v>122141000</v>
      </c>
      <c r="L10" s="18">
        <f t="shared" si="0"/>
        <v>-2000000</v>
      </c>
      <c r="M10" s="89">
        <f>M11</f>
        <v>120141000</v>
      </c>
      <c r="N10" s="89">
        <f t="shared" ref="N10:S10" si="1">N11</f>
        <v>115000000</v>
      </c>
      <c r="O10" s="89">
        <f t="shared" si="1"/>
        <v>0</v>
      </c>
      <c r="P10" s="89">
        <f t="shared" si="1"/>
        <v>115000000</v>
      </c>
      <c r="Q10" s="89">
        <f t="shared" si="1"/>
        <v>0</v>
      </c>
      <c r="R10" s="89">
        <f t="shared" si="1"/>
        <v>115000000</v>
      </c>
      <c r="S10" s="89">
        <f t="shared" si="1"/>
        <v>0</v>
      </c>
      <c r="T10" s="90"/>
      <c r="U10" s="91">
        <f t="shared" ref="U10:Z10" si="2">U11</f>
        <v>123000000</v>
      </c>
      <c r="V10" s="91"/>
      <c r="W10" s="91">
        <f t="shared" si="2"/>
        <v>123000000</v>
      </c>
      <c r="X10" s="91">
        <f t="shared" si="2"/>
        <v>131000000</v>
      </c>
      <c r="Y10" s="91"/>
      <c r="Z10" s="91">
        <f t="shared" si="2"/>
        <v>131000000</v>
      </c>
    </row>
    <row r="11" spans="1:26" outlineLevel="2" x14ac:dyDescent="0.25">
      <c r="A11" s="20" t="s">
        <v>8</v>
      </c>
      <c r="B11" s="3" t="s">
        <v>4</v>
      </c>
      <c r="C11" s="28" t="s">
        <v>9</v>
      </c>
      <c r="D11" s="28" t="s">
        <v>5</v>
      </c>
      <c r="E11" s="29" t="s">
        <v>4</v>
      </c>
      <c r="F11" s="10"/>
      <c r="G11" s="10"/>
      <c r="H11" s="10"/>
      <c r="I11" s="10"/>
      <c r="J11" s="10"/>
      <c r="K11" s="11">
        <f t="shared" si="0"/>
        <v>122141000</v>
      </c>
      <c r="L11" s="11">
        <f t="shared" si="0"/>
        <v>-2000000</v>
      </c>
      <c r="M11" s="92">
        <f>M12</f>
        <v>120141000</v>
      </c>
      <c r="N11" s="93">
        <v>115000000</v>
      </c>
      <c r="O11" s="93">
        <v>0</v>
      </c>
      <c r="P11" s="93">
        <v>115000000</v>
      </c>
      <c r="Q11" s="93">
        <v>0</v>
      </c>
      <c r="R11" s="93">
        <v>115000000</v>
      </c>
      <c r="S11" s="93">
        <v>0</v>
      </c>
      <c r="T11" s="84"/>
      <c r="U11" s="94">
        <v>123000000</v>
      </c>
      <c r="V11" s="94"/>
      <c r="W11" s="94">
        <v>123000000</v>
      </c>
      <c r="X11" s="94">
        <v>131000000</v>
      </c>
      <c r="Y11" s="94"/>
      <c r="Z11" s="94">
        <v>131000000</v>
      </c>
    </row>
    <row r="12" spans="1:26" ht="51" outlineLevel="3" x14ac:dyDescent="0.25">
      <c r="A12" s="20" t="s">
        <v>10</v>
      </c>
      <c r="B12" s="3" t="s">
        <v>4</v>
      </c>
      <c r="C12" s="28">
        <v>1010201001</v>
      </c>
      <c r="D12" s="28" t="s">
        <v>5</v>
      </c>
      <c r="E12" s="29" t="s">
        <v>11</v>
      </c>
      <c r="F12" s="10"/>
      <c r="G12" s="10"/>
      <c r="H12" s="10"/>
      <c r="I12" s="10"/>
      <c r="J12" s="10"/>
      <c r="K12" s="11">
        <v>122141000</v>
      </c>
      <c r="L12" s="11">
        <v>-2000000</v>
      </c>
      <c r="M12" s="92">
        <f>115000000+7141000+L12</f>
        <v>120141000</v>
      </c>
      <c r="N12" s="93">
        <v>115000000</v>
      </c>
      <c r="O12" s="93">
        <v>0</v>
      </c>
      <c r="P12" s="93">
        <v>115000000</v>
      </c>
      <c r="Q12" s="93">
        <v>0</v>
      </c>
      <c r="R12" s="93">
        <v>115000000</v>
      </c>
      <c r="S12" s="93">
        <v>0</v>
      </c>
      <c r="T12" s="84"/>
      <c r="U12" s="94">
        <v>123000000</v>
      </c>
      <c r="V12" s="94"/>
      <c r="W12" s="94">
        <v>123000000</v>
      </c>
      <c r="X12" s="94">
        <v>131000000</v>
      </c>
      <c r="Y12" s="94"/>
      <c r="Z12" s="94">
        <v>131000000</v>
      </c>
    </row>
    <row r="13" spans="1:26" s="6" customFormat="1" ht="25.5" outlineLevel="1" x14ac:dyDescent="0.25">
      <c r="A13" s="19" t="s">
        <v>12</v>
      </c>
      <c r="B13" s="5" t="s">
        <v>4</v>
      </c>
      <c r="C13" s="26" t="s">
        <v>13</v>
      </c>
      <c r="D13" s="26" t="s">
        <v>5</v>
      </c>
      <c r="E13" s="27" t="s">
        <v>4</v>
      </c>
      <c r="F13" s="14"/>
      <c r="G13" s="14"/>
      <c r="H13" s="14"/>
      <c r="I13" s="14"/>
      <c r="J13" s="14"/>
      <c r="K13" s="18">
        <f t="shared" ref="K13:L13" si="3">K14+K15+K16</f>
        <v>21754400</v>
      </c>
      <c r="L13" s="18">
        <f t="shared" si="3"/>
        <v>0</v>
      </c>
      <c r="M13" s="89">
        <f>M14+M15+M16</f>
        <v>21754400</v>
      </c>
      <c r="N13" s="89">
        <f t="shared" ref="N13:S13" si="4">N14+N15+N16</f>
        <v>21754400</v>
      </c>
      <c r="O13" s="89">
        <f t="shared" si="4"/>
        <v>0</v>
      </c>
      <c r="P13" s="89">
        <f t="shared" si="4"/>
        <v>21754400</v>
      </c>
      <c r="Q13" s="89">
        <f t="shared" si="4"/>
        <v>0</v>
      </c>
      <c r="R13" s="89">
        <f t="shared" si="4"/>
        <v>21754400</v>
      </c>
      <c r="S13" s="89">
        <f t="shared" si="4"/>
        <v>0</v>
      </c>
      <c r="T13" s="90"/>
      <c r="U13" s="91">
        <f t="shared" ref="U13" si="5">U14+U15+U16</f>
        <v>22267000</v>
      </c>
      <c r="V13" s="91"/>
      <c r="W13" s="91">
        <f t="shared" ref="W13:Z13" si="6">W14+W15+W16</f>
        <v>22267000</v>
      </c>
      <c r="X13" s="91">
        <f t="shared" ref="X13" si="7">X14+X15+X16</f>
        <v>30029700</v>
      </c>
      <c r="Y13" s="91"/>
      <c r="Z13" s="91">
        <f t="shared" si="6"/>
        <v>30029700</v>
      </c>
    </row>
    <row r="14" spans="1:26" ht="63.75" outlineLevel="3" x14ac:dyDescent="0.25">
      <c r="A14" s="20" t="s">
        <v>14</v>
      </c>
      <c r="B14" s="3" t="s">
        <v>4</v>
      </c>
      <c r="C14" s="28" t="s">
        <v>15</v>
      </c>
      <c r="D14" s="28" t="s">
        <v>5</v>
      </c>
      <c r="E14" s="29" t="s">
        <v>11</v>
      </c>
      <c r="F14" s="10"/>
      <c r="G14" s="10"/>
      <c r="H14" s="10"/>
      <c r="I14" s="10"/>
      <c r="J14" s="10"/>
      <c r="K14" s="11">
        <v>10044600</v>
      </c>
      <c r="L14" s="11"/>
      <c r="M14" s="92">
        <v>10044600</v>
      </c>
      <c r="N14" s="93">
        <v>10044600</v>
      </c>
      <c r="O14" s="93">
        <v>0</v>
      </c>
      <c r="P14" s="93">
        <v>10044600</v>
      </c>
      <c r="Q14" s="93">
        <v>0</v>
      </c>
      <c r="R14" s="93">
        <v>10044600</v>
      </c>
      <c r="S14" s="93">
        <v>0</v>
      </c>
      <c r="T14" s="84"/>
      <c r="U14" s="94">
        <v>10346600</v>
      </c>
      <c r="V14" s="94"/>
      <c r="W14" s="94">
        <v>10346600</v>
      </c>
      <c r="X14" s="94">
        <v>13730300</v>
      </c>
      <c r="Y14" s="94"/>
      <c r="Z14" s="94">
        <v>13730300</v>
      </c>
    </row>
    <row r="15" spans="1:26" ht="76.5" outlineLevel="3" x14ac:dyDescent="0.25">
      <c r="A15" s="20" t="s">
        <v>16</v>
      </c>
      <c r="B15" s="3" t="s">
        <v>4</v>
      </c>
      <c r="C15" s="28" t="s">
        <v>17</v>
      </c>
      <c r="D15" s="28" t="s">
        <v>5</v>
      </c>
      <c r="E15" s="29" t="s">
        <v>11</v>
      </c>
      <c r="F15" s="10"/>
      <c r="G15" s="10"/>
      <c r="H15" s="10"/>
      <c r="I15" s="10"/>
      <c r="J15" s="10"/>
      <c r="K15" s="11">
        <v>72800</v>
      </c>
      <c r="L15" s="11"/>
      <c r="M15" s="92">
        <v>72800</v>
      </c>
      <c r="N15" s="93">
        <v>72800</v>
      </c>
      <c r="O15" s="93">
        <v>0</v>
      </c>
      <c r="P15" s="93">
        <v>72800</v>
      </c>
      <c r="Q15" s="93">
        <v>0</v>
      </c>
      <c r="R15" s="93">
        <v>72800</v>
      </c>
      <c r="S15" s="93">
        <v>0</v>
      </c>
      <c r="T15" s="84"/>
      <c r="U15" s="94">
        <v>74500</v>
      </c>
      <c r="V15" s="94"/>
      <c r="W15" s="94">
        <v>74500</v>
      </c>
      <c r="X15" s="94">
        <v>103400</v>
      </c>
      <c r="Y15" s="94"/>
      <c r="Z15" s="94">
        <v>103400</v>
      </c>
    </row>
    <row r="16" spans="1:26" ht="76.5" outlineLevel="3" x14ac:dyDescent="0.25">
      <c r="A16" s="20" t="s">
        <v>18</v>
      </c>
      <c r="B16" s="3" t="s">
        <v>4</v>
      </c>
      <c r="C16" s="28" t="s">
        <v>19</v>
      </c>
      <c r="D16" s="28" t="s">
        <v>5</v>
      </c>
      <c r="E16" s="29" t="s">
        <v>11</v>
      </c>
      <c r="F16" s="10"/>
      <c r="G16" s="10"/>
      <c r="H16" s="10"/>
      <c r="I16" s="10"/>
      <c r="J16" s="10"/>
      <c r="K16" s="11">
        <v>11637000</v>
      </c>
      <c r="L16" s="11"/>
      <c r="M16" s="92">
        <v>11637000</v>
      </c>
      <c r="N16" s="93">
        <v>11637000</v>
      </c>
      <c r="O16" s="93">
        <v>0</v>
      </c>
      <c r="P16" s="93">
        <v>11637000</v>
      </c>
      <c r="Q16" s="93">
        <v>0</v>
      </c>
      <c r="R16" s="93">
        <v>11637000</v>
      </c>
      <c r="S16" s="93">
        <v>0</v>
      </c>
      <c r="T16" s="84"/>
      <c r="U16" s="94">
        <v>11845900</v>
      </c>
      <c r="V16" s="94"/>
      <c r="W16" s="94">
        <v>11845900</v>
      </c>
      <c r="X16" s="94">
        <v>16196000</v>
      </c>
      <c r="Y16" s="94"/>
      <c r="Z16" s="94">
        <v>16196000</v>
      </c>
    </row>
    <row r="17" spans="1:26" s="6" customFormat="1" outlineLevel="1" x14ac:dyDescent="0.25">
      <c r="A17" s="19" t="s">
        <v>20</v>
      </c>
      <c r="B17" s="5" t="s">
        <v>4</v>
      </c>
      <c r="C17" s="26" t="s">
        <v>21</v>
      </c>
      <c r="D17" s="26" t="s">
        <v>5</v>
      </c>
      <c r="E17" s="27" t="s">
        <v>4</v>
      </c>
      <c r="F17" s="14"/>
      <c r="G17" s="14"/>
      <c r="H17" s="14"/>
      <c r="I17" s="14"/>
      <c r="J17" s="14"/>
      <c r="K17" s="18">
        <f t="shared" ref="K17" si="8">K18+K22+K23+K21</f>
        <v>8961000</v>
      </c>
      <c r="L17" s="18">
        <f>L18+L22+L23+L21</f>
        <v>2610000</v>
      </c>
      <c r="M17" s="89">
        <f>M18+M22+M23+M21</f>
        <v>11571000</v>
      </c>
      <c r="N17" s="89">
        <f t="shared" ref="N17:S17" si="9">N18+N22+N23</f>
        <v>7191000</v>
      </c>
      <c r="O17" s="89">
        <f t="shared" si="9"/>
        <v>0</v>
      </c>
      <c r="P17" s="89">
        <f t="shared" si="9"/>
        <v>7191000</v>
      </c>
      <c r="Q17" s="89">
        <f t="shared" si="9"/>
        <v>0</v>
      </c>
      <c r="R17" s="89">
        <f t="shared" si="9"/>
        <v>7191000</v>
      </c>
      <c r="S17" s="89">
        <f t="shared" si="9"/>
        <v>0</v>
      </c>
      <c r="T17" s="90"/>
      <c r="U17" s="91">
        <f t="shared" ref="U17" si="10">U18+U22+U23</f>
        <v>7581000</v>
      </c>
      <c r="V17" s="91"/>
      <c r="W17" s="91">
        <f t="shared" ref="W17:Z17" si="11">W18+W22+W23</f>
        <v>7581000</v>
      </c>
      <c r="X17" s="91">
        <f t="shared" ref="X17" si="12">X18+X22+X23</f>
        <v>7938000</v>
      </c>
      <c r="Y17" s="91"/>
      <c r="Z17" s="91">
        <f t="shared" si="11"/>
        <v>7938000</v>
      </c>
    </row>
    <row r="18" spans="1:26" outlineLevel="2" x14ac:dyDescent="0.25">
      <c r="A18" s="20" t="s">
        <v>22</v>
      </c>
      <c r="B18" s="3" t="s">
        <v>4</v>
      </c>
      <c r="C18" s="28" t="s">
        <v>23</v>
      </c>
      <c r="D18" s="28" t="s">
        <v>5</v>
      </c>
      <c r="E18" s="29" t="s">
        <v>4</v>
      </c>
      <c r="F18" s="10"/>
      <c r="G18" s="10"/>
      <c r="H18" s="10"/>
      <c r="I18" s="10"/>
      <c r="J18" s="10"/>
      <c r="K18" s="11">
        <v>4361000</v>
      </c>
      <c r="L18" s="11">
        <f>L19</f>
        <v>3300000</v>
      </c>
      <c r="M18" s="92">
        <f>M19+M20</f>
        <v>7661000</v>
      </c>
      <c r="N18" s="92">
        <f t="shared" ref="N18:S18" si="13">N19+N20</f>
        <v>4731000</v>
      </c>
      <c r="O18" s="92">
        <f t="shared" si="13"/>
        <v>0</v>
      </c>
      <c r="P18" s="92">
        <f t="shared" si="13"/>
        <v>4731000</v>
      </c>
      <c r="Q18" s="92">
        <f t="shared" si="13"/>
        <v>0</v>
      </c>
      <c r="R18" s="92">
        <f t="shared" si="13"/>
        <v>4731000</v>
      </c>
      <c r="S18" s="92">
        <f t="shared" si="13"/>
        <v>0</v>
      </c>
      <c r="T18" s="84"/>
      <c r="U18" s="94">
        <f t="shared" ref="U18" si="14">U19+U20</f>
        <v>5121000</v>
      </c>
      <c r="V18" s="94"/>
      <c r="W18" s="94">
        <f t="shared" ref="W18:Z18" si="15">W19+W20</f>
        <v>5121000</v>
      </c>
      <c r="X18" s="94">
        <f t="shared" ref="X18" si="16">X19+X20</f>
        <v>5478000</v>
      </c>
      <c r="Y18" s="94"/>
      <c r="Z18" s="94">
        <f t="shared" si="15"/>
        <v>5478000</v>
      </c>
    </row>
    <row r="19" spans="1:26" ht="25.5" outlineLevel="3" x14ac:dyDescent="0.25">
      <c r="A19" s="20" t="s">
        <v>24</v>
      </c>
      <c r="B19" s="3" t="s">
        <v>4</v>
      </c>
      <c r="C19" s="28">
        <v>1050101101</v>
      </c>
      <c r="D19" s="28" t="s">
        <v>5</v>
      </c>
      <c r="E19" s="29" t="s">
        <v>11</v>
      </c>
      <c r="F19" s="10"/>
      <c r="G19" s="10"/>
      <c r="H19" s="10"/>
      <c r="I19" s="10"/>
      <c r="J19" s="10"/>
      <c r="K19" s="11">
        <v>2379400</v>
      </c>
      <c r="L19" s="11">
        <v>3300000</v>
      </c>
      <c r="M19" s="92">
        <f>3679400-1300000+L19</f>
        <v>5679400</v>
      </c>
      <c r="N19" s="93">
        <v>3679400</v>
      </c>
      <c r="O19" s="93">
        <v>0</v>
      </c>
      <c r="P19" s="93">
        <v>3679400</v>
      </c>
      <c r="Q19" s="93">
        <v>0</v>
      </c>
      <c r="R19" s="93">
        <v>3679400</v>
      </c>
      <c r="S19" s="93">
        <v>0</v>
      </c>
      <c r="T19" s="84"/>
      <c r="U19" s="94">
        <v>4069400</v>
      </c>
      <c r="V19" s="94"/>
      <c r="W19" s="94">
        <v>4069400</v>
      </c>
      <c r="X19" s="94">
        <v>4426400</v>
      </c>
      <c r="Y19" s="94"/>
      <c r="Z19" s="94">
        <v>4426400</v>
      </c>
    </row>
    <row r="20" spans="1:26" ht="38.25" outlineLevel="3" x14ac:dyDescent="0.25">
      <c r="A20" s="20" t="s">
        <v>25</v>
      </c>
      <c r="B20" s="3" t="s">
        <v>4</v>
      </c>
      <c r="C20" s="28" t="s">
        <v>26</v>
      </c>
      <c r="D20" s="28" t="s">
        <v>5</v>
      </c>
      <c r="E20" s="29" t="s">
        <v>11</v>
      </c>
      <c r="F20" s="10"/>
      <c r="G20" s="10"/>
      <c r="H20" s="10"/>
      <c r="I20" s="10"/>
      <c r="J20" s="10"/>
      <c r="K20" s="11">
        <v>1981600</v>
      </c>
      <c r="L20" s="11"/>
      <c r="M20" s="92">
        <f>1051600+630000+300000</f>
        <v>1981600</v>
      </c>
      <c r="N20" s="93">
        <v>1051600</v>
      </c>
      <c r="O20" s="93">
        <v>0</v>
      </c>
      <c r="P20" s="93">
        <v>1051600</v>
      </c>
      <c r="Q20" s="93">
        <v>0</v>
      </c>
      <c r="R20" s="93">
        <v>1051600</v>
      </c>
      <c r="S20" s="93">
        <v>0</v>
      </c>
      <c r="T20" s="84"/>
      <c r="U20" s="94">
        <v>1051600</v>
      </c>
      <c r="V20" s="94"/>
      <c r="W20" s="94">
        <v>1051600</v>
      </c>
      <c r="X20" s="94">
        <v>1051600</v>
      </c>
      <c r="Y20" s="94"/>
      <c r="Z20" s="94">
        <v>1051600</v>
      </c>
    </row>
    <row r="21" spans="1:26" outlineLevel="3" x14ac:dyDescent="0.25">
      <c r="A21" s="20" t="s">
        <v>189</v>
      </c>
      <c r="B21" s="3"/>
      <c r="C21" s="28">
        <v>1050201002</v>
      </c>
      <c r="D21" s="30" t="s">
        <v>5</v>
      </c>
      <c r="E21" s="50">
        <v>110</v>
      </c>
      <c r="F21" s="10"/>
      <c r="G21" s="10"/>
      <c r="H21" s="10"/>
      <c r="I21" s="10"/>
      <c r="J21" s="10"/>
      <c r="K21" s="11">
        <v>90000</v>
      </c>
      <c r="L21" s="11"/>
      <c r="M21" s="92">
        <v>90000</v>
      </c>
      <c r="N21" s="93"/>
      <c r="O21" s="93"/>
      <c r="P21" s="93"/>
      <c r="Q21" s="93"/>
      <c r="R21" s="93"/>
      <c r="S21" s="93"/>
      <c r="T21" s="84"/>
      <c r="U21" s="94"/>
      <c r="V21" s="94"/>
      <c r="W21" s="94"/>
      <c r="X21" s="94"/>
      <c r="Y21" s="94"/>
      <c r="Z21" s="94"/>
    </row>
    <row r="22" spans="1:26" outlineLevel="3" x14ac:dyDescent="0.25">
      <c r="A22" s="20" t="s">
        <v>27</v>
      </c>
      <c r="B22" s="3" t="s">
        <v>4</v>
      </c>
      <c r="C22" s="28">
        <v>1050301001</v>
      </c>
      <c r="D22" s="28" t="s">
        <v>5</v>
      </c>
      <c r="E22" s="29" t="s">
        <v>11</v>
      </c>
      <c r="F22" s="10"/>
      <c r="G22" s="10"/>
      <c r="H22" s="10"/>
      <c r="I22" s="10"/>
      <c r="J22" s="10"/>
      <c r="K22" s="11">
        <v>3110000</v>
      </c>
      <c r="L22" s="11">
        <v>-1000000</v>
      </c>
      <c r="M22" s="92">
        <f>1360000+1750000+L22</f>
        <v>2110000</v>
      </c>
      <c r="N22" s="93">
        <v>1360000</v>
      </c>
      <c r="O22" s="93">
        <v>0</v>
      </c>
      <c r="P22" s="93">
        <v>1360000</v>
      </c>
      <c r="Q22" s="93">
        <v>0</v>
      </c>
      <c r="R22" s="93">
        <v>1360000</v>
      </c>
      <c r="S22" s="93">
        <v>0</v>
      </c>
      <c r="T22" s="84"/>
      <c r="U22" s="94">
        <v>1360000</v>
      </c>
      <c r="V22" s="94"/>
      <c r="W22" s="94">
        <v>1360000</v>
      </c>
      <c r="X22" s="94">
        <v>1360000</v>
      </c>
      <c r="Y22" s="94"/>
      <c r="Z22" s="94">
        <v>1360000</v>
      </c>
    </row>
    <row r="23" spans="1:26" ht="25.5" outlineLevel="3" x14ac:dyDescent="0.25">
      <c r="A23" s="20" t="s">
        <v>28</v>
      </c>
      <c r="B23" s="3" t="s">
        <v>4</v>
      </c>
      <c r="C23" s="28">
        <v>1050406002</v>
      </c>
      <c r="D23" s="28" t="s">
        <v>5</v>
      </c>
      <c r="E23" s="29" t="s">
        <v>11</v>
      </c>
      <c r="F23" s="10"/>
      <c r="G23" s="10"/>
      <c r="H23" s="10"/>
      <c r="I23" s="10"/>
      <c r="J23" s="10"/>
      <c r="K23" s="11">
        <v>1400000</v>
      </c>
      <c r="L23" s="11">
        <v>310000</v>
      </c>
      <c r="M23" s="92">
        <f>1100000+300000+L23</f>
        <v>1710000</v>
      </c>
      <c r="N23" s="93">
        <v>1100000</v>
      </c>
      <c r="O23" s="93">
        <v>0</v>
      </c>
      <c r="P23" s="93">
        <v>1100000</v>
      </c>
      <c r="Q23" s="93">
        <v>0</v>
      </c>
      <c r="R23" s="93">
        <v>1100000</v>
      </c>
      <c r="S23" s="93">
        <v>0</v>
      </c>
      <c r="T23" s="84"/>
      <c r="U23" s="94">
        <v>1100000</v>
      </c>
      <c r="V23" s="94"/>
      <c r="W23" s="94">
        <v>1100000</v>
      </c>
      <c r="X23" s="94">
        <v>1100000</v>
      </c>
      <c r="Y23" s="94"/>
      <c r="Z23" s="94">
        <v>1100000</v>
      </c>
    </row>
    <row r="24" spans="1:26" s="6" customFormat="1" outlineLevel="1" x14ac:dyDescent="0.25">
      <c r="A24" s="19" t="s">
        <v>29</v>
      </c>
      <c r="B24" s="5" t="s">
        <v>4</v>
      </c>
      <c r="C24" s="26" t="s">
        <v>30</v>
      </c>
      <c r="D24" s="26" t="s">
        <v>5</v>
      </c>
      <c r="E24" s="27" t="s">
        <v>4</v>
      </c>
      <c r="F24" s="14"/>
      <c r="G24" s="14"/>
      <c r="H24" s="14"/>
      <c r="I24" s="14"/>
      <c r="J24" s="14"/>
      <c r="K24" s="18">
        <v>5700000</v>
      </c>
      <c r="L24" s="18"/>
      <c r="M24" s="89">
        <v>5700000</v>
      </c>
      <c r="N24" s="95">
        <v>5700000</v>
      </c>
      <c r="O24" s="95">
        <v>0</v>
      </c>
      <c r="P24" s="95">
        <v>5700000</v>
      </c>
      <c r="Q24" s="95">
        <v>0</v>
      </c>
      <c r="R24" s="95">
        <v>5700000</v>
      </c>
      <c r="S24" s="95">
        <v>0</v>
      </c>
      <c r="T24" s="90"/>
      <c r="U24" s="91">
        <v>5700000</v>
      </c>
      <c r="V24" s="91"/>
      <c r="W24" s="91">
        <v>5700000</v>
      </c>
      <c r="X24" s="91">
        <v>5700000</v>
      </c>
      <c r="Y24" s="91"/>
      <c r="Z24" s="91">
        <v>5700000</v>
      </c>
    </row>
    <row r="25" spans="1:26" outlineLevel="2" x14ac:dyDescent="0.25">
      <c r="A25" s="20" t="s">
        <v>31</v>
      </c>
      <c r="B25" s="3" t="s">
        <v>4</v>
      </c>
      <c r="C25" s="28" t="s">
        <v>32</v>
      </c>
      <c r="D25" s="28" t="s">
        <v>5</v>
      </c>
      <c r="E25" s="29" t="s">
        <v>4</v>
      </c>
      <c r="F25" s="10"/>
      <c r="G25" s="10"/>
      <c r="H25" s="10"/>
      <c r="I25" s="10"/>
      <c r="J25" s="10"/>
      <c r="K25" s="11">
        <v>2200000</v>
      </c>
      <c r="L25" s="11"/>
      <c r="M25" s="92">
        <v>2200000</v>
      </c>
      <c r="N25" s="93">
        <v>2200000</v>
      </c>
      <c r="O25" s="93">
        <v>0</v>
      </c>
      <c r="P25" s="93">
        <v>2200000</v>
      </c>
      <c r="Q25" s="93">
        <v>0</v>
      </c>
      <c r="R25" s="93">
        <v>2200000</v>
      </c>
      <c r="S25" s="93">
        <v>0</v>
      </c>
      <c r="T25" s="84"/>
      <c r="U25" s="94">
        <v>2200000</v>
      </c>
      <c r="V25" s="94"/>
      <c r="W25" s="94">
        <v>2200000</v>
      </c>
      <c r="X25" s="94">
        <v>2200000</v>
      </c>
      <c r="Y25" s="94"/>
      <c r="Z25" s="94">
        <v>2200000</v>
      </c>
    </row>
    <row r="26" spans="1:26" ht="25.5" outlineLevel="3" x14ac:dyDescent="0.25">
      <c r="A26" s="20" t="s">
        <v>33</v>
      </c>
      <c r="B26" s="3" t="s">
        <v>4</v>
      </c>
      <c r="C26" s="28" t="s">
        <v>34</v>
      </c>
      <c r="D26" s="28" t="s">
        <v>5</v>
      </c>
      <c r="E26" s="29" t="s">
        <v>11</v>
      </c>
      <c r="F26" s="10"/>
      <c r="G26" s="10"/>
      <c r="H26" s="10"/>
      <c r="I26" s="10"/>
      <c r="J26" s="10"/>
      <c r="K26" s="11">
        <v>2200000</v>
      </c>
      <c r="L26" s="11"/>
      <c r="M26" s="92">
        <v>2200000</v>
      </c>
      <c r="N26" s="93">
        <v>2200000</v>
      </c>
      <c r="O26" s="93">
        <v>0</v>
      </c>
      <c r="P26" s="93">
        <v>2200000</v>
      </c>
      <c r="Q26" s="93">
        <v>0</v>
      </c>
      <c r="R26" s="93">
        <v>2200000</v>
      </c>
      <c r="S26" s="93">
        <v>0</v>
      </c>
      <c r="T26" s="84"/>
      <c r="U26" s="94">
        <v>2200000</v>
      </c>
      <c r="V26" s="94"/>
      <c r="W26" s="94">
        <v>2200000</v>
      </c>
      <c r="X26" s="94">
        <v>2200000</v>
      </c>
      <c r="Y26" s="94"/>
      <c r="Z26" s="94">
        <v>2200000</v>
      </c>
    </row>
    <row r="27" spans="1:26" outlineLevel="2" x14ac:dyDescent="0.25">
      <c r="A27" s="20" t="s">
        <v>35</v>
      </c>
      <c r="B27" s="3" t="s">
        <v>4</v>
      </c>
      <c r="C27" s="28" t="s">
        <v>36</v>
      </c>
      <c r="D27" s="28" t="s">
        <v>5</v>
      </c>
      <c r="E27" s="29" t="s">
        <v>4</v>
      </c>
      <c r="F27" s="10"/>
      <c r="G27" s="10"/>
      <c r="H27" s="10"/>
      <c r="I27" s="10"/>
      <c r="J27" s="10"/>
      <c r="K27" s="11">
        <v>3500000</v>
      </c>
      <c r="L27" s="11"/>
      <c r="M27" s="92">
        <v>3500000</v>
      </c>
      <c r="N27" s="93">
        <v>3500000</v>
      </c>
      <c r="O27" s="93">
        <v>0</v>
      </c>
      <c r="P27" s="93">
        <v>3500000</v>
      </c>
      <c r="Q27" s="93">
        <v>0</v>
      </c>
      <c r="R27" s="93">
        <v>3500000</v>
      </c>
      <c r="S27" s="93">
        <v>0</v>
      </c>
      <c r="T27" s="84"/>
      <c r="U27" s="94">
        <v>3500000</v>
      </c>
      <c r="V27" s="94"/>
      <c r="W27" s="94">
        <v>3500000</v>
      </c>
      <c r="X27" s="94">
        <v>3500000</v>
      </c>
      <c r="Y27" s="94"/>
      <c r="Z27" s="94">
        <v>3500000</v>
      </c>
    </row>
    <row r="28" spans="1:26" ht="25.5" outlineLevel="3" x14ac:dyDescent="0.25">
      <c r="A28" s="20" t="s">
        <v>37</v>
      </c>
      <c r="B28" s="3" t="s">
        <v>4</v>
      </c>
      <c r="C28" s="28" t="s">
        <v>38</v>
      </c>
      <c r="D28" s="28" t="s">
        <v>5</v>
      </c>
      <c r="E28" s="29" t="s">
        <v>11</v>
      </c>
      <c r="F28" s="10"/>
      <c r="G28" s="10"/>
      <c r="H28" s="10"/>
      <c r="I28" s="10"/>
      <c r="J28" s="10"/>
      <c r="K28" s="11">
        <v>2695000</v>
      </c>
      <c r="L28" s="11"/>
      <c r="M28" s="92">
        <v>2695000</v>
      </c>
      <c r="N28" s="93">
        <v>2695000</v>
      </c>
      <c r="O28" s="93">
        <v>0</v>
      </c>
      <c r="P28" s="93">
        <v>2695000</v>
      </c>
      <c r="Q28" s="93">
        <v>0</v>
      </c>
      <c r="R28" s="93">
        <v>2695000</v>
      </c>
      <c r="S28" s="93">
        <v>0</v>
      </c>
      <c r="T28" s="84"/>
      <c r="U28" s="94">
        <v>2695000</v>
      </c>
      <c r="V28" s="94"/>
      <c r="W28" s="94">
        <v>2695000</v>
      </c>
      <c r="X28" s="94">
        <v>2695000</v>
      </c>
      <c r="Y28" s="94"/>
      <c r="Z28" s="94">
        <v>2695000</v>
      </c>
    </row>
    <row r="29" spans="1:26" ht="25.5" outlineLevel="3" x14ac:dyDescent="0.25">
      <c r="A29" s="20" t="s">
        <v>39</v>
      </c>
      <c r="B29" s="3" t="s">
        <v>4</v>
      </c>
      <c r="C29" s="28" t="s">
        <v>40</v>
      </c>
      <c r="D29" s="28" t="s">
        <v>5</v>
      </c>
      <c r="E29" s="29" t="s">
        <v>11</v>
      </c>
      <c r="F29" s="10"/>
      <c r="G29" s="10"/>
      <c r="H29" s="10"/>
      <c r="I29" s="10"/>
      <c r="J29" s="10"/>
      <c r="K29" s="11">
        <v>805000</v>
      </c>
      <c r="L29" s="11"/>
      <c r="M29" s="92">
        <v>805000</v>
      </c>
      <c r="N29" s="93">
        <v>805000</v>
      </c>
      <c r="O29" s="93">
        <v>0</v>
      </c>
      <c r="P29" s="93">
        <v>805000</v>
      </c>
      <c r="Q29" s="93">
        <v>0</v>
      </c>
      <c r="R29" s="93">
        <v>805000</v>
      </c>
      <c r="S29" s="93">
        <v>0</v>
      </c>
      <c r="T29" s="84"/>
      <c r="U29" s="94">
        <v>805000</v>
      </c>
      <c r="V29" s="94"/>
      <c r="W29" s="94">
        <v>805000</v>
      </c>
      <c r="X29" s="94">
        <v>805000</v>
      </c>
      <c r="Y29" s="94"/>
      <c r="Z29" s="94">
        <v>805000</v>
      </c>
    </row>
    <row r="30" spans="1:26" s="6" customFormat="1" ht="25.5" outlineLevel="1" x14ac:dyDescent="0.25">
      <c r="A30" s="19" t="s">
        <v>41</v>
      </c>
      <c r="B30" s="5" t="s">
        <v>4</v>
      </c>
      <c r="C30" s="26" t="s">
        <v>42</v>
      </c>
      <c r="D30" s="26" t="s">
        <v>5</v>
      </c>
      <c r="E30" s="27" t="s">
        <v>4</v>
      </c>
      <c r="F30" s="14"/>
      <c r="G30" s="14"/>
      <c r="H30" s="14"/>
      <c r="I30" s="14"/>
      <c r="J30" s="14"/>
      <c r="K30" s="18">
        <f t="shared" ref="K30:L30" si="17">K31</f>
        <v>300000</v>
      </c>
      <c r="L30" s="18">
        <f t="shared" si="17"/>
        <v>20000</v>
      </c>
      <c r="M30" s="89">
        <f>M31</f>
        <v>320000</v>
      </c>
      <c r="N30" s="95">
        <v>20000</v>
      </c>
      <c r="O30" s="95">
        <v>0</v>
      </c>
      <c r="P30" s="95">
        <v>20000</v>
      </c>
      <c r="Q30" s="95">
        <v>0</v>
      </c>
      <c r="R30" s="95">
        <v>20000</v>
      </c>
      <c r="S30" s="95">
        <v>0</v>
      </c>
      <c r="T30" s="90"/>
      <c r="U30" s="91">
        <v>20000</v>
      </c>
      <c r="V30" s="91"/>
      <c r="W30" s="91">
        <v>20000</v>
      </c>
      <c r="X30" s="91">
        <v>20000</v>
      </c>
      <c r="Y30" s="91"/>
      <c r="Z30" s="91">
        <v>20000</v>
      </c>
    </row>
    <row r="31" spans="1:26" outlineLevel="3" x14ac:dyDescent="0.25">
      <c r="A31" s="20" t="s">
        <v>43</v>
      </c>
      <c r="B31" s="3" t="s">
        <v>4</v>
      </c>
      <c r="C31" s="28">
        <v>1070102001</v>
      </c>
      <c r="D31" s="28" t="s">
        <v>5</v>
      </c>
      <c r="E31" s="29" t="s">
        <v>11</v>
      </c>
      <c r="F31" s="10"/>
      <c r="G31" s="10"/>
      <c r="H31" s="10"/>
      <c r="I31" s="10"/>
      <c r="J31" s="10"/>
      <c r="K31" s="11">
        <v>300000</v>
      </c>
      <c r="L31" s="11">
        <v>20000</v>
      </c>
      <c r="M31" s="92">
        <f>20000+280000+L31</f>
        <v>320000</v>
      </c>
      <c r="N31" s="93">
        <v>20000</v>
      </c>
      <c r="O31" s="93">
        <v>0</v>
      </c>
      <c r="P31" s="93">
        <v>20000</v>
      </c>
      <c r="Q31" s="93">
        <v>0</v>
      </c>
      <c r="R31" s="93">
        <v>20000</v>
      </c>
      <c r="S31" s="93">
        <v>0</v>
      </c>
      <c r="T31" s="84"/>
      <c r="U31" s="94">
        <v>20000</v>
      </c>
      <c r="V31" s="94"/>
      <c r="W31" s="94">
        <v>20000</v>
      </c>
      <c r="X31" s="94">
        <v>20000</v>
      </c>
      <c r="Y31" s="94"/>
      <c r="Z31" s="94">
        <v>20000</v>
      </c>
    </row>
    <row r="32" spans="1:26" s="6" customFormat="1" outlineLevel="1" x14ac:dyDescent="0.25">
      <c r="A32" s="19" t="s">
        <v>44</v>
      </c>
      <c r="B32" s="5" t="s">
        <v>4</v>
      </c>
      <c r="C32" s="26" t="s">
        <v>45</v>
      </c>
      <c r="D32" s="26" t="s">
        <v>5</v>
      </c>
      <c r="E32" s="27" t="s">
        <v>4</v>
      </c>
      <c r="F32" s="14"/>
      <c r="G32" s="14"/>
      <c r="H32" s="14"/>
      <c r="I32" s="14"/>
      <c r="J32" s="14"/>
      <c r="K32" s="18">
        <v>900000</v>
      </c>
      <c r="L32" s="18">
        <f>L33</f>
        <v>350000</v>
      </c>
      <c r="M32" s="89">
        <f>M33</f>
        <v>1250000</v>
      </c>
      <c r="N32" s="95">
        <v>900000</v>
      </c>
      <c r="O32" s="95">
        <v>0</v>
      </c>
      <c r="P32" s="95">
        <v>900000</v>
      </c>
      <c r="Q32" s="95">
        <v>0</v>
      </c>
      <c r="R32" s="95">
        <v>900000</v>
      </c>
      <c r="S32" s="95">
        <v>0</v>
      </c>
      <c r="T32" s="90"/>
      <c r="U32" s="91">
        <v>900000</v>
      </c>
      <c r="V32" s="91"/>
      <c r="W32" s="91">
        <v>900000</v>
      </c>
      <c r="X32" s="91">
        <v>900000</v>
      </c>
      <c r="Y32" s="91"/>
      <c r="Z32" s="91">
        <v>900000</v>
      </c>
    </row>
    <row r="33" spans="1:26" ht="38.25" outlineLevel="3" x14ac:dyDescent="0.25">
      <c r="A33" s="20" t="s">
        <v>46</v>
      </c>
      <c r="B33" s="3" t="s">
        <v>4</v>
      </c>
      <c r="C33" s="28" t="s">
        <v>47</v>
      </c>
      <c r="D33" s="28" t="s">
        <v>5</v>
      </c>
      <c r="E33" s="29" t="s">
        <v>11</v>
      </c>
      <c r="F33" s="10"/>
      <c r="G33" s="10"/>
      <c r="H33" s="10"/>
      <c r="I33" s="10"/>
      <c r="J33" s="10"/>
      <c r="K33" s="11">
        <v>900000</v>
      </c>
      <c r="L33" s="11">
        <v>350000</v>
      </c>
      <c r="M33" s="92">
        <f>900000+L33</f>
        <v>1250000</v>
      </c>
      <c r="N33" s="93">
        <v>900000</v>
      </c>
      <c r="O33" s="93">
        <v>0</v>
      </c>
      <c r="P33" s="93">
        <v>900000</v>
      </c>
      <c r="Q33" s="93">
        <v>0</v>
      </c>
      <c r="R33" s="93">
        <v>900000</v>
      </c>
      <c r="S33" s="93">
        <v>0</v>
      </c>
      <c r="T33" s="84"/>
      <c r="U33" s="94">
        <v>900000</v>
      </c>
      <c r="V33" s="94"/>
      <c r="W33" s="94">
        <v>900000</v>
      </c>
      <c r="X33" s="94">
        <v>900000</v>
      </c>
      <c r="Y33" s="94"/>
      <c r="Z33" s="94">
        <v>900000</v>
      </c>
    </row>
    <row r="34" spans="1:26" s="6" customFormat="1" ht="25.5" outlineLevel="1" x14ac:dyDescent="0.25">
      <c r="A34" s="19" t="s">
        <v>48</v>
      </c>
      <c r="B34" s="5" t="s">
        <v>4</v>
      </c>
      <c r="C34" s="26" t="s">
        <v>49</v>
      </c>
      <c r="D34" s="26" t="s">
        <v>5</v>
      </c>
      <c r="E34" s="27" t="s">
        <v>4</v>
      </c>
      <c r="F34" s="14"/>
      <c r="G34" s="14"/>
      <c r="H34" s="14"/>
      <c r="I34" s="14"/>
      <c r="J34" s="14"/>
      <c r="K34" s="18">
        <f t="shared" ref="K34:L34" si="18">K35+K38</f>
        <v>5200000</v>
      </c>
      <c r="L34" s="18">
        <f t="shared" si="18"/>
        <v>0</v>
      </c>
      <c r="M34" s="89">
        <f>M35+M38</f>
        <v>5200000</v>
      </c>
      <c r="N34" s="89">
        <f t="shared" ref="N34:S34" si="19">N35+N38</f>
        <v>1600000</v>
      </c>
      <c r="O34" s="89">
        <f t="shared" si="19"/>
        <v>0</v>
      </c>
      <c r="P34" s="89">
        <f t="shared" si="19"/>
        <v>1600000</v>
      </c>
      <c r="Q34" s="89">
        <f t="shared" si="19"/>
        <v>0</v>
      </c>
      <c r="R34" s="89">
        <f t="shared" si="19"/>
        <v>1600000</v>
      </c>
      <c r="S34" s="89">
        <f t="shared" si="19"/>
        <v>0</v>
      </c>
      <c r="T34" s="90"/>
      <c r="U34" s="91">
        <f t="shared" ref="U34" si="20">U35+U38</f>
        <v>1600000</v>
      </c>
      <c r="V34" s="91"/>
      <c r="W34" s="91">
        <f t="shared" ref="W34:Z34" si="21">W35+W38</f>
        <v>1600000</v>
      </c>
      <c r="X34" s="91">
        <f t="shared" ref="X34" si="22">X35+X38</f>
        <v>1600000</v>
      </c>
      <c r="Y34" s="91"/>
      <c r="Z34" s="91">
        <f t="shared" si="21"/>
        <v>1600000</v>
      </c>
    </row>
    <row r="35" spans="1:26" ht="51" outlineLevel="2" x14ac:dyDescent="0.25">
      <c r="A35" s="20" t="s">
        <v>50</v>
      </c>
      <c r="B35" s="3" t="s">
        <v>4</v>
      </c>
      <c r="C35" s="28" t="s">
        <v>51</v>
      </c>
      <c r="D35" s="28" t="s">
        <v>5</v>
      </c>
      <c r="E35" s="29" t="s">
        <v>4</v>
      </c>
      <c r="F35" s="10"/>
      <c r="G35" s="10"/>
      <c r="H35" s="10"/>
      <c r="I35" s="10"/>
      <c r="J35" s="10"/>
      <c r="K35" s="11">
        <v>3850000</v>
      </c>
      <c r="L35" s="11"/>
      <c r="M35" s="92">
        <f>M36+M37</f>
        <v>3850000</v>
      </c>
      <c r="N35" s="93">
        <v>500000</v>
      </c>
      <c r="O35" s="93">
        <v>0</v>
      </c>
      <c r="P35" s="93">
        <v>500000</v>
      </c>
      <c r="Q35" s="93">
        <v>0</v>
      </c>
      <c r="R35" s="93">
        <v>500000</v>
      </c>
      <c r="S35" s="93">
        <v>0</v>
      </c>
      <c r="T35" s="84"/>
      <c r="U35" s="94">
        <v>500000</v>
      </c>
      <c r="V35" s="94"/>
      <c r="W35" s="94">
        <v>500000</v>
      </c>
      <c r="X35" s="94">
        <v>500000</v>
      </c>
      <c r="Y35" s="94"/>
      <c r="Z35" s="94">
        <v>500000</v>
      </c>
    </row>
    <row r="36" spans="1:26" ht="51" outlineLevel="3" x14ac:dyDescent="0.25">
      <c r="A36" s="20" t="s">
        <v>134</v>
      </c>
      <c r="B36" s="3" t="s">
        <v>4</v>
      </c>
      <c r="C36" s="28" t="s">
        <v>52</v>
      </c>
      <c r="D36" s="28" t="s">
        <v>5</v>
      </c>
      <c r="E36" s="29" t="s">
        <v>53</v>
      </c>
      <c r="F36" s="10"/>
      <c r="G36" s="10"/>
      <c r="H36" s="10"/>
      <c r="I36" s="10"/>
      <c r="J36" s="10"/>
      <c r="K36" s="11">
        <v>3400000</v>
      </c>
      <c r="L36" s="11"/>
      <c r="M36" s="92">
        <f>300000+3100000</f>
        <v>3400000</v>
      </c>
      <c r="N36" s="93">
        <v>300000</v>
      </c>
      <c r="O36" s="93">
        <v>0</v>
      </c>
      <c r="P36" s="93">
        <v>300000</v>
      </c>
      <c r="Q36" s="93">
        <v>0</v>
      </c>
      <c r="R36" s="93">
        <v>300000</v>
      </c>
      <c r="S36" s="93">
        <v>0</v>
      </c>
      <c r="T36" s="84"/>
      <c r="U36" s="94">
        <v>300000</v>
      </c>
      <c r="V36" s="94"/>
      <c r="W36" s="94">
        <v>300000</v>
      </c>
      <c r="X36" s="94">
        <v>300000</v>
      </c>
      <c r="Y36" s="94"/>
      <c r="Z36" s="94">
        <v>300000</v>
      </c>
    </row>
    <row r="37" spans="1:26" ht="25.5" outlineLevel="3" x14ac:dyDescent="0.25">
      <c r="A37" s="20" t="s">
        <v>135</v>
      </c>
      <c r="B37" s="3" t="s">
        <v>4</v>
      </c>
      <c r="C37" s="28" t="s">
        <v>55</v>
      </c>
      <c r="D37" s="28" t="s">
        <v>5</v>
      </c>
      <c r="E37" s="29" t="s">
        <v>53</v>
      </c>
      <c r="F37" s="10"/>
      <c r="G37" s="10"/>
      <c r="H37" s="10"/>
      <c r="I37" s="10"/>
      <c r="J37" s="10"/>
      <c r="K37" s="11">
        <v>450000</v>
      </c>
      <c r="L37" s="11"/>
      <c r="M37" s="92">
        <f>200000+250000</f>
        <v>450000</v>
      </c>
      <c r="N37" s="93">
        <v>200000</v>
      </c>
      <c r="O37" s="93">
        <v>0</v>
      </c>
      <c r="P37" s="93">
        <v>200000</v>
      </c>
      <c r="Q37" s="93">
        <v>0</v>
      </c>
      <c r="R37" s="93">
        <v>200000</v>
      </c>
      <c r="S37" s="93">
        <v>0</v>
      </c>
      <c r="T37" s="84"/>
      <c r="U37" s="94">
        <v>200000</v>
      </c>
      <c r="V37" s="94"/>
      <c r="W37" s="94">
        <v>200000</v>
      </c>
      <c r="X37" s="94">
        <v>200000</v>
      </c>
      <c r="Y37" s="94"/>
      <c r="Z37" s="94">
        <v>200000</v>
      </c>
    </row>
    <row r="38" spans="1:26" ht="51" outlineLevel="2" x14ac:dyDescent="0.25">
      <c r="A38" s="20" t="s">
        <v>56</v>
      </c>
      <c r="B38" s="3" t="s">
        <v>4</v>
      </c>
      <c r="C38" s="28" t="s">
        <v>57</v>
      </c>
      <c r="D38" s="28" t="s">
        <v>5</v>
      </c>
      <c r="E38" s="29" t="s">
        <v>4</v>
      </c>
      <c r="F38" s="10"/>
      <c r="G38" s="10"/>
      <c r="H38" s="10"/>
      <c r="I38" s="10"/>
      <c r="J38" s="10"/>
      <c r="K38" s="11">
        <v>1350000</v>
      </c>
      <c r="L38" s="11"/>
      <c r="M38" s="92">
        <f>1100000+250000</f>
        <v>1350000</v>
      </c>
      <c r="N38" s="93">
        <v>1100000</v>
      </c>
      <c r="O38" s="93">
        <v>0</v>
      </c>
      <c r="P38" s="93">
        <v>1100000</v>
      </c>
      <c r="Q38" s="93">
        <v>0</v>
      </c>
      <c r="R38" s="93">
        <v>1100000</v>
      </c>
      <c r="S38" s="93">
        <v>0</v>
      </c>
      <c r="T38" s="84"/>
      <c r="U38" s="94">
        <v>1100000</v>
      </c>
      <c r="V38" s="94"/>
      <c r="W38" s="94">
        <v>1100000</v>
      </c>
      <c r="X38" s="94">
        <v>1100000</v>
      </c>
      <c r="Y38" s="94"/>
      <c r="Z38" s="94">
        <v>1100000</v>
      </c>
    </row>
    <row r="39" spans="1:26" s="6" customFormat="1" outlineLevel="1" x14ac:dyDescent="0.25">
      <c r="A39" s="19" t="s">
        <v>58</v>
      </c>
      <c r="B39" s="5" t="s">
        <v>4</v>
      </c>
      <c r="C39" s="26" t="s">
        <v>59</v>
      </c>
      <c r="D39" s="26" t="s">
        <v>5</v>
      </c>
      <c r="E39" s="27" t="s">
        <v>4</v>
      </c>
      <c r="F39" s="14"/>
      <c r="G39" s="14"/>
      <c r="H39" s="14"/>
      <c r="I39" s="14"/>
      <c r="J39" s="14"/>
      <c r="K39" s="18">
        <f>K40</f>
        <v>185000</v>
      </c>
      <c r="L39" s="18">
        <f>L40</f>
        <v>0</v>
      </c>
      <c r="M39" s="89">
        <f>M40</f>
        <v>185000</v>
      </c>
      <c r="N39" s="95">
        <v>235000</v>
      </c>
      <c r="O39" s="95">
        <v>0</v>
      </c>
      <c r="P39" s="95">
        <v>235000</v>
      </c>
      <c r="Q39" s="95">
        <v>0</v>
      </c>
      <c r="R39" s="95">
        <v>235000</v>
      </c>
      <c r="S39" s="95">
        <v>0</v>
      </c>
      <c r="T39" s="90"/>
      <c r="U39" s="91">
        <v>235000</v>
      </c>
      <c r="V39" s="91"/>
      <c r="W39" s="91">
        <v>235000</v>
      </c>
      <c r="X39" s="91">
        <v>235000</v>
      </c>
      <c r="Y39" s="91"/>
      <c r="Z39" s="91">
        <v>235000</v>
      </c>
    </row>
    <row r="40" spans="1:26" outlineLevel="3" x14ac:dyDescent="0.25">
      <c r="A40" s="20" t="s">
        <v>60</v>
      </c>
      <c r="B40" s="3" t="s">
        <v>4</v>
      </c>
      <c r="C40" s="28" t="s">
        <v>61</v>
      </c>
      <c r="D40" s="28" t="s">
        <v>5</v>
      </c>
      <c r="E40" s="29" t="s">
        <v>53</v>
      </c>
      <c r="F40" s="10"/>
      <c r="G40" s="10"/>
      <c r="H40" s="10"/>
      <c r="I40" s="10"/>
      <c r="J40" s="10"/>
      <c r="K40" s="11">
        <v>185000</v>
      </c>
      <c r="L40" s="11"/>
      <c r="M40" s="92">
        <f>K40+L40</f>
        <v>185000</v>
      </c>
      <c r="N40" s="93">
        <v>235000</v>
      </c>
      <c r="O40" s="93">
        <v>0</v>
      </c>
      <c r="P40" s="93">
        <v>235000</v>
      </c>
      <c r="Q40" s="93">
        <v>0</v>
      </c>
      <c r="R40" s="93">
        <v>235000</v>
      </c>
      <c r="S40" s="93">
        <v>0</v>
      </c>
      <c r="T40" s="84"/>
      <c r="U40" s="94">
        <v>235000</v>
      </c>
      <c r="V40" s="94"/>
      <c r="W40" s="94">
        <v>235000</v>
      </c>
      <c r="X40" s="94">
        <v>235000</v>
      </c>
      <c r="Y40" s="94"/>
      <c r="Z40" s="94">
        <v>235000</v>
      </c>
    </row>
    <row r="41" spans="1:26" s="6" customFormat="1" ht="25.5" outlineLevel="1" x14ac:dyDescent="0.25">
      <c r="A41" s="19" t="s">
        <v>62</v>
      </c>
      <c r="B41" s="5" t="s">
        <v>4</v>
      </c>
      <c r="C41" s="26" t="s">
        <v>63</v>
      </c>
      <c r="D41" s="26" t="s">
        <v>5</v>
      </c>
      <c r="E41" s="27" t="s">
        <v>4</v>
      </c>
      <c r="F41" s="14"/>
      <c r="G41" s="14"/>
      <c r="H41" s="14"/>
      <c r="I41" s="14"/>
      <c r="J41" s="14"/>
      <c r="K41" s="18">
        <v>1500000</v>
      </c>
      <c r="L41" s="18">
        <f>L42+L44</f>
        <v>-700000</v>
      </c>
      <c r="M41" s="89">
        <f>M42+M44</f>
        <v>800000</v>
      </c>
      <c r="N41" s="95">
        <v>1500000</v>
      </c>
      <c r="O41" s="95">
        <v>0</v>
      </c>
      <c r="P41" s="95">
        <v>1500000</v>
      </c>
      <c r="Q41" s="95">
        <v>0</v>
      </c>
      <c r="R41" s="95">
        <v>1500000</v>
      </c>
      <c r="S41" s="95">
        <v>0</v>
      </c>
      <c r="T41" s="90"/>
      <c r="U41" s="91">
        <v>1500000</v>
      </c>
      <c r="V41" s="91"/>
      <c r="W41" s="91">
        <v>1500000</v>
      </c>
      <c r="X41" s="91">
        <v>1500000</v>
      </c>
      <c r="Y41" s="91"/>
      <c r="Z41" s="91">
        <v>1500000</v>
      </c>
    </row>
    <row r="42" spans="1:26" outlineLevel="2" x14ac:dyDescent="0.25">
      <c r="A42" s="20" t="s">
        <v>64</v>
      </c>
      <c r="B42" s="3" t="s">
        <v>4</v>
      </c>
      <c r="C42" s="28" t="s">
        <v>65</v>
      </c>
      <c r="D42" s="28" t="s">
        <v>5</v>
      </c>
      <c r="E42" s="29" t="s">
        <v>4</v>
      </c>
      <c r="F42" s="10"/>
      <c r="G42" s="10"/>
      <c r="H42" s="10"/>
      <c r="I42" s="10"/>
      <c r="J42" s="10"/>
      <c r="K42" s="11">
        <v>825000</v>
      </c>
      <c r="L42" s="11">
        <f>L43</f>
        <v>-400000</v>
      </c>
      <c r="M42" s="92">
        <f>M43</f>
        <v>425000</v>
      </c>
      <c r="N42" s="93">
        <v>825000</v>
      </c>
      <c r="O42" s="93">
        <v>0</v>
      </c>
      <c r="P42" s="93">
        <v>825000</v>
      </c>
      <c r="Q42" s="93">
        <v>0</v>
      </c>
      <c r="R42" s="93">
        <v>825000</v>
      </c>
      <c r="S42" s="93">
        <v>0</v>
      </c>
      <c r="T42" s="84"/>
      <c r="U42" s="94">
        <v>825000</v>
      </c>
      <c r="V42" s="94"/>
      <c r="W42" s="94">
        <v>825000</v>
      </c>
      <c r="X42" s="94">
        <v>825000</v>
      </c>
      <c r="Y42" s="94"/>
      <c r="Z42" s="94">
        <v>825000</v>
      </c>
    </row>
    <row r="43" spans="1:26" ht="25.5" outlineLevel="3" x14ac:dyDescent="0.25">
      <c r="A43" s="20" t="s">
        <v>66</v>
      </c>
      <c r="B43" s="3" t="s">
        <v>4</v>
      </c>
      <c r="C43" s="28" t="s">
        <v>67</v>
      </c>
      <c r="D43" s="28" t="s">
        <v>5</v>
      </c>
      <c r="E43" s="29" t="s">
        <v>68</v>
      </c>
      <c r="F43" s="10"/>
      <c r="G43" s="10"/>
      <c r="H43" s="10"/>
      <c r="I43" s="10"/>
      <c r="J43" s="10"/>
      <c r="K43" s="11">
        <v>825000</v>
      </c>
      <c r="L43" s="11">
        <v>-400000</v>
      </c>
      <c r="M43" s="92">
        <f>K43+L43</f>
        <v>425000</v>
      </c>
      <c r="N43" s="93">
        <v>825000</v>
      </c>
      <c r="O43" s="93">
        <v>0</v>
      </c>
      <c r="P43" s="93">
        <v>825000</v>
      </c>
      <c r="Q43" s="93">
        <v>0</v>
      </c>
      <c r="R43" s="93">
        <v>825000</v>
      </c>
      <c r="S43" s="93">
        <v>0</v>
      </c>
      <c r="T43" s="84"/>
      <c r="U43" s="94">
        <v>825000</v>
      </c>
      <c r="V43" s="94"/>
      <c r="W43" s="94">
        <v>825000</v>
      </c>
      <c r="X43" s="94">
        <v>825000</v>
      </c>
      <c r="Y43" s="94"/>
      <c r="Z43" s="94">
        <v>825000</v>
      </c>
    </row>
    <row r="44" spans="1:26" outlineLevel="2" x14ac:dyDescent="0.25">
      <c r="A44" s="20" t="s">
        <v>70</v>
      </c>
      <c r="B44" s="3" t="s">
        <v>4</v>
      </c>
      <c r="C44" s="28" t="s">
        <v>71</v>
      </c>
      <c r="D44" s="28" t="s">
        <v>5</v>
      </c>
      <c r="E44" s="29" t="s">
        <v>4</v>
      </c>
      <c r="F44" s="10"/>
      <c r="G44" s="10"/>
      <c r="H44" s="10"/>
      <c r="I44" s="10"/>
      <c r="J44" s="10"/>
      <c r="K44" s="11">
        <v>675000</v>
      </c>
      <c r="L44" s="11">
        <f>L45</f>
        <v>-300000</v>
      </c>
      <c r="M44" s="92">
        <f>M45</f>
        <v>375000</v>
      </c>
      <c r="N44" s="93">
        <v>675000</v>
      </c>
      <c r="O44" s="93">
        <v>0</v>
      </c>
      <c r="P44" s="93">
        <v>675000</v>
      </c>
      <c r="Q44" s="93">
        <v>0</v>
      </c>
      <c r="R44" s="93">
        <v>675000</v>
      </c>
      <c r="S44" s="93">
        <v>0</v>
      </c>
      <c r="T44" s="84"/>
      <c r="U44" s="94">
        <v>675000</v>
      </c>
      <c r="V44" s="94"/>
      <c r="W44" s="94">
        <v>675000</v>
      </c>
      <c r="X44" s="94">
        <v>675000</v>
      </c>
      <c r="Y44" s="94"/>
      <c r="Z44" s="94">
        <v>675000</v>
      </c>
    </row>
    <row r="45" spans="1:26" outlineLevel="3" x14ac:dyDescent="0.25">
      <c r="A45" s="20" t="s">
        <v>136</v>
      </c>
      <c r="B45" s="3" t="s">
        <v>4</v>
      </c>
      <c r="C45" s="28" t="s">
        <v>72</v>
      </c>
      <c r="D45" s="28" t="s">
        <v>5</v>
      </c>
      <c r="E45" s="29" t="s">
        <v>68</v>
      </c>
      <c r="F45" s="10"/>
      <c r="G45" s="10"/>
      <c r="H45" s="10"/>
      <c r="I45" s="10"/>
      <c r="J45" s="10"/>
      <c r="K45" s="11">
        <v>675000</v>
      </c>
      <c r="L45" s="11">
        <v>-300000</v>
      </c>
      <c r="M45" s="92">
        <f>675000+L45</f>
        <v>375000</v>
      </c>
      <c r="N45" s="93">
        <v>675000</v>
      </c>
      <c r="O45" s="93">
        <v>0</v>
      </c>
      <c r="P45" s="93">
        <v>675000</v>
      </c>
      <c r="Q45" s="93">
        <v>0</v>
      </c>
      <c r="R45" s="93">
        <v>675000</v>
      </c>
      <c r="S45" s="93">
        <v>0</v>
      </c>
      <c r="T45" s="84"/>
      <c r="U45" s="94">
        <v>675000</v>
      </c>
      <c r="V45" s="94"/>
      <c r="W45" s="94">
        <v>675000</v>
      </c>
      <c r="X45" s="94">
        <v>675000</v>
      </c>
      <c r="Y45" s="94"/>
      <c r="Z45" s="94">
        <v>675000</v>
      </c>
    </row>
    <row r="46" spans="1:26" s="6" customFormat="1" outlineLevel="1" x14ac:dyDescent="0.25">
      <c r="A46" s="19" t="s">
        <v>73</v>
      </c>
      <c r="B46" s="5" t="s">
        <v>4</v>
      </c>
      <c r="C46" s="26" t="s">
        <v>74</v>
      </c>
      <c r="D46" s="26" t="s">
        <v>5</v>
      </c>
      <c r="E46" s="27" t="s">
        <v>4</v>
      </c>
      <c r="F46" s="14"/>
      <c r="G46" s="14"/>
      <c r="H46" s="14"/>
      <c r="I46" s="14"/>
      <c r="J46" s="14"/>
      <c r="K46" s="18">
        <v>500000</v>
      </c>
      <c r="L46" s="18"/>
      <c r="M46" s="89">
        <v>500000</v>
      </c>
      <c r="N46" s="95">
        <v>500000</v>
      </c>
      <c r="O46" s="95">
        <v>0</v>
      </c>
      <c r="P46" s="95">
        <v>500000</v>
      </c>
      <c r="Q46" s="95">
        <v>0</v>
      </c>
      <c r="R46" s="95">
        <v>500000</v>
      </c>
      <c r="S46" s="95">
        <v>0</v>
      </c>
      <c r="T46" s="90"/>
      <c r="U46" s="91">
        <v>500000</v>
      </c>
      <c r="V46" s="91"/>
      <c r="W46" s="91">
        <v>500000</v>
      </c>
      <c r="X46" s="91">
        <v>500000</v>
      </c>
      <c r="Y46" s="91"/>
      <c r="Z46" s="91">
        <v>500000</v>
      </c>
    </row>
    <row r="47" spans="1:26" ht="51" outlineLevel="2" x14ac:dyDescent="0.25">
      <c r="A47" s="20" t="s">
        <v>75</v>
      </c>
      <c r="B47" s="3" t="s">
        <v>4</v>
      </c>
      <c r="C47" s="28" t="s">
        <v>76</v>
      </c>
      <c r="D47" s="28" t="s">
        <v>5</v>
      </c>
      <c r="E47" s="29" t="s">
        <v>4</v>
      </c>
      <c r="F47" s="10"/>
      <c r="G47" s="10"/>
      <c r="H47" s="10"/>
      <c r="I47" s="10"/>
      <c r="J47" s="10"/>
      <c r="K47" s="11">
        <v>300000</v>
      </c>
      <c r="L47" s="11"/>
      <c r="M47" s="92">
        <v>300000</v>
      </c>
      <c r="N47" s="93">
        <v>300000</v>
      </c>
      <c r="O47" s="93">
        <v>0</v>
      </c>
      <c r="P47" s="93">
        <v>300000</v>
      </c>
      <c r="Q47" s="93">
        <v>0</v>
      </c>
      <c r="R47" s="93">
        <v>300000</v>
      </c>
      <c r="S47" s="93">
        <v>0</v>
      </c>
      <c r="T47" s="84"/>
      <c r="U47" s="94">
        <v>300000</v>
      </c>
      <c r="V47" s="94"/>
      <c r="W47" s="94">
        <v>300000</v>
      </c>
      <c r="X47" s="94">
        <v>300000</v>
      </c>
      <c r="Y47" s="94"/>
      <c r="Z47" s="94">
        <v>300000</v>
      </c>
    </row>
    <row r="48" spans="1:26" ht="51" outlineLevel="3" x14ac:dyDescent="0.25">
      <c r="A48" s="20" t="s">
        <v>137</v>
      </c>
      <c r="B48" s="3" t="s">
        <v>4</v>
      </c>
      <c r="C48" s="28" t="s">
        <v>77</v>
      </c>
      <c r="D48" s="28" t="s">
        <v>5</v>
      </c>
      <c r="E48" s="29" t="s">
        <v>78</v>
      </c>
      <c r="F48" s="10"/>
      <c r="G48" s="10"/>
      <c r="H48" s="10"/>
      <c r="I48" s="10"/>
      <c r="J48" s="10"/>
      <c r="K48" s="11">
        <v>300000</v>
      </c>
      <c r="L48" s="11"/>
      <c r="M48" s="92">
        <v>300000</v>
      </c>
      <c r="N48" s="93">
        <v>300000</v>
      </c>
      <c r="O48" s="93">
        <v>0</v>
      </c>
      <c r="P48" s="93">
        <v>300000</v>
      </c>
      <c r="Q48" s="93">
        <v>0</v>
      </c>
      <c r="R48" s="93">
        <v>300000</v>
      </c>
      <c r="S48" s="93">
        <v>0</v>
      </c>
      <c r="T48" s="84"/>
      <c r="U48" s="94">
        <v>300000</v>
      </c>
      <c r="V48" s="94"/>
      <c r="W48" s="94">
        <v>300000</v>
      </c>
      <c r="X48" s="94">
        <v>300000</v>
      </c>
      <c r="Y48" s="94"/>
      <c r="Z48" s="94">
        <v>300000</v>
      </c>
    </row>
    <row r="49" spans="1:26" ht="25.5" outlineLevel="2" x14ac:dyDescent="0.25">
      <c r="A49" s="20" t="s">
        <v>79</v>
      </c>
      <c r="B49" s="3" t="s">
        <v>4</v>
      </c>
      <c r="C49" s="28" t="s">
        <v>80</v>
      </c>
      <c r="D49" s="28" t="s">
        <v>5</v>
      </c>
      <c r="E49" s="29" t="s">
        <v>4</v>
      </c>
      <c r="F49" s="10"/>
      <c r="G49" s="10"/>
      <c r="H49" s="10"/>
      <c r="I49" s="10"/>
      <c r="J49" s="10"/>
      <c r="K49" s="11">
        <v>200000</v>
      </c>
      <c r="L49" s="11"/>
      <c r="M49" s="92">
        <v>200000</v>
      </c>
      <c r="N49" s="93">
        <v>200000</v>
      </c>
      <c r="O49" s="93">
        <v>0</v>
      </c>
      <c r="P49" s="93">
        <v>200000</v>
      </c>
      <c r="Q49" s="93">
        <v>0</v>
      </c>
      <c r="R49" s="93">
        <v>200000</v>
      </c>
      <c r="S49" s="93">
        <v>0</v>
      </c>
      <c r="T49" s="84"/>
      <c r="U49" s="94">
        <v>200000</v>
      </c>
      <c r="V49" s="94"/>
      <c r="W49" s="94">
        <v>200000</v>
      </c>
      <c r="X49" s="94">
        <v>200000</v>
      </c>
      <c r="Y49" s="94"/>
      <c r="Z49" s="94">
        <v>200000</v>
      </c>
    </row>
    <row r="50" spans="1:26" ht="25.5" outlineLevel="3" x14ac:dyDescent="0.25">
      <c r="A50" s="20" t="s">
        <v>138</v>
      </c>
      <c r="B50" s="3" t="s">
        <v>4</v>
      </c>
      <c r="C50" s="28" t="s">
        <v>81</v>
      </c>
      <c r="D50" s="28" t="s">
        <v>5</v>
      </c>
      <c r="E50" s="29" t="s">
        <v>82</v>
      </c>
      <c r="F50" s="10"/>
      <c r="G50" s="10"/>
      <c r="H50" s="10"/>
      <c r="I50" s="10"/>
      <c r="J50" s="10"/>
      <c r="K50" s="11">
        <v>200000</v>
      </c>
      <c r="L50" s="11"/>
      <c r="M50" s="92">
        <v>200000</v>
      </c>
      <c r="N50" s="93">
        <v>200000</v>
      </c>
      <c r="O50" s="93">
        <v>0</v>
      </c>
      <c r="P50" s="93">
        <v>200000</v>
      </c>
      <c r="Q50" s="93">
        <v>0</v>
      </c>
      <c r="R50" s="93">
        <v>200000</v>
      </c>
      <c r="S50" s="93">
        <v>0</v>
      </c>
      <c r="T50" s="84"/>
      <c r="U50" s="94">
        <v>200000</v>
      </c>
      <c r="V50" s="94"/>
      <c r="W50" s="94">
        <v>200000</v>
      </c>
      <c r="X50" s="94">
        <v>200000</v>
      </c>
      <c r="Y50" s="94"/>
      <c r="Z50" s="94">
        <v>200000</v>
      </c>
    </row>
    <row r="51" spans="1:26" s="6" customFormat="1" outlineLevel="1" x14ac:dyDescent="0.25">
      <c r="A51" s="19" t="s">
        <v>83</v>
      </c>
      <c r="B51" s="5" t="s">
        <v>4</v>
      </c>
      <c r="C51" s="26" t="s">
        <v>84</v>
      </c>
      <c r="D51" s="26" t="s">
        <v>5</v>
      </c>
      <c r="E51" s="27" t="s">
        <v>4</v>
      </c>
      <c r="F51" s="14"/>
      <c r="G51" s="14"/>
      <c r="H51" s="14"/>
      <c r="I51" s="14"/>
      <c r="J51" s="14"/>
      <c r="K51" s="18">
        <v>500000</v>
      </c>
      <c r="L51" s="18">
        <f>L52</f>
        <v>200000</v>
      </c>
      <c r="M51" s="89">
        <f>M52</f>
        <v>700000</v>
      </c>
      <c r="N51" s="95">
        <v>500000</v>
      </c>
      <c r="O51" s="95">
        <v>0</v>
      </c>
      <c r="P51" s="95">
        <v>500000</v>
      </c>
      <c r="Q51" s="95">
        <v>0</v>
      </c>
      <c r="R51" s="95">
        <v>500000</v>
      </c>
      <c r="S51" s="95">
        <v>0</v>
      </c>
      <c r="T51" s="90"/>
      <c r="U51" s="91">
        <v>500000</v>
      </c>
      <c r="V51" s="91"/>
      <c r="W51" s="91">
        <v>500000</v>
      </c>
      <c r="X51" s="91">
        <v>500000</v>
      </c>
      <c r="Y51" s="91"/>
      <c r="Z51" s="91">
        <v>500000</v>
      </c>
    </row>
    <row r="52" spans="1:26" ht="38.25" outlineLevel="2" x14ac:dyDescent="0.25">
      <c r="A52" s="20" t="s">
        <v>85</v>
      </c>
      <c r="B52" s="3" t="s">
        <v>4</v>
      </c>
      <c r="C52" s="28" t="s">
        <v>86</v>
      </c>
      <c r="D52" s="28" t="s">
        <v>5</v>
      </c>
      <c r="E52" s="29" t="s">
        <v>4</v>
      </c>
      <c r="F52" s="10"/>
      <c r="G52" s="10"/>
      <c r="H52" s="10"/>
      <c r="I52" s="10"/>
      <c r="J52" s="10"/>
      <c r="K52" s="11">
        <v>500000</v>
      </c>
      <c r="L52" s="11">
        <f>L53</f>
        <v>200000</v>
      </c>
      <c r="M52" s="92">
        <f>M53</f>
        <v>700000</v>
      </c>
      <c r="N52" s="93">
        <v>500000</v>
      </c>
      <c r="O52" s="93">
        <v>0</v>
      </c>
      <c r="P52" s="93">
        <v>500000</v>
      </c>
      <c r="Q52" s="93">
        <v>0</v>
      </c>
      <c r="R52" s="93">
        <v>500000</v>
      </c>
      <c r="S52" s="93">
        <v>0</v>
      </c>
      <c r="T52" s="84"/>
      <c r="U52" s="94">
        <v>500000</v>
      </c>
      <c r="V52" s="94"/>
      <c r="W52" s="94">
        <v>500000</v>
      </c>
      <c r="X52" s="94">
        <v>500000</v>
      </c>
      <c r="Y52" s="94"/>
      <c r="Z52" s="94">
        <v>500000</v>
      </c>
    </row>
    <row r="53" spans="1:26" ht="25.5" outlineLevel="3" x14ac:dyDescent="0.25">
      <c r="A53" s="20" t="s">
        <v>139</v>
      </c>
      <c r="B53" s="3" t="s">
        <v>4</v>
      </c>
      <c r="C53" s="28" t="s">
        <v>87</v>
      </c>
      <c r="D53" s="28" t="s">
        <v>5</v>
      </c>
      <c r="E53" s="29" t="s">
        <v>88</v>
      </c>
      <c r="F53" s="10"/>
      <c r="G53" s="10"/>
      <c r="H53" s="10"/>
      <c r="I53" s="10"/>
      <c r="J53" s="10"/>
      <c r="K53" s="11">
        <v>500000</v>
      </c>
      <c r="L53" s="11">
        <v>200000</v>
      </c>
      <c r="M53" s="92">
        <f>K53+L53</f>
        <v>700000</v>
      </c>
      <c r="N53" s="93">
        <v>500000</v>
      </c>
      <c r="O53" s="93">
        <v>0</v>
      </c>
      <c r="P53" s="93">
        <v>500000</v>
      </c>
      <c r="Q53" s="93">
        <v>0</v>
      </c>
      <c r="R53" s="93">
        <v>500000</v>
      </c>
      <c r="S53" s="93">
        <v>0</v>
      </c>
      <c r="T53" s="84"/>
      <c r="U53" s="94">
        <v>500000</v>
      </c>
      <c r="V53" s="94"/>
      <c r="W53" s="94">
        <v>500000</v>
      </c>
      <c r="X53" s="94">
        <v>500000</v>
      </c>
      <c r="Y53" s="94"/>
      <c r="Z53" s="94">
        <v>500000</v>
      </c>
    </row>
    <row r="54" spans="1:26" s="6" customFormat="1" outlineLevel="1" x14ac:dyDescent="0.25">
      <c r="A54" s="19" t="s">
        <v>89</v>
      </c>
      <c r="B54" s="5" t="s">
        <v>4</v>
      </c>
      <c r="C54" s="26" t="s">
        <v>90</v>
      </c>
      <c r="D54" s="26" t="s">
        <v>5</v>
      </c>
      <c r="E54" s="27" t="s">
        <v>4</v>
      </c>
      <c r="F54" s="14"/>
      <c r="G54" s="14"/>
      <c r="H54" s="14"/>
      <c r="I54" s="14"/>
      <c r="J54" s="14"/>
      <c r="K54" s="18">
        <f t="shared" ref="K54" si="23">K55+K57+K59</f>
        <v>1990322.9</v>
      </c>
      <c r="L54" s="18">
        <f>L55+L57+L59</f>
        <v>-480000</v>
      </c>
      <c r="M54" s="89">
        <f>M55+M57+M59</f>
        <v>1510322.9</v>
      </c>
      <c r="N54" s="95">
        <v>2000000</v>
      </c>
      <c r="O54" s="95">
        <v>0</v>
      </c>
      <c r="P54" s="95">
        <v>2000000</v>
      </c>
      <c r="Q54" s="95">
        <v>0</v>
      </c>
      <c r="R54" s="95">
        <v>2000000</v>
      </c>
      <c r="S54" s="95">
        <v>0</v>
      </c>
      <c r="T54" s="90"/>
      <c r="U54" s="91">
        <v>2000000</v>
      </c>
      <c r="V54" s="91"/>
      <c r="W54" s="91">
        <v>2000000</v>
      </c>
      <c r="X54" s="91">
        <v>2000000</v>
      </c>
      <c r="Y54" s="91"/>
      <c r="Z54" s="91">
        <v>2000000</v>
      </c>
    </row>
    <row r="55" spans="1:26" outlineLevel="2" x14ac:dyDescent="0.25">
      <c r="A55" s="20" t="s">
        <v>91</v>
      </c>
      <c r="B55" s="3" t="s">
        <v>4</v>
      </c>
      <c r="C55" s="28" t="s">
        <v>92</v>
      </c>
      <c r="D55" s="28" t="s">
        <v>5</v>
      </c>
      <c r="E55" s="29" t="s">
        <v>4</v>
      </c>
      <c r="F55" s="10"/>
      <c r="G55" s="10"/>
      <c r="H55" s="10"/>
      <c r="I55" s="10"/>
      <c r="J55" s="10"/>
      <c r="K55" s="11">
        <f>K56</f>
        <v>268144.92</v>
      </c>
      <c r="L55" s="11">
        <f>L56</f>
        <v>0</v>
      </c>
      <c r="M55" s="92">
        <f>M56</f>
        <v>268144.91999999993</v>
      </c>
      <c r="N55" s="93">
        <v>2000000</v>
      </c>
      <c r="O55" s="93">
        <v>0</v>
      </c>
      <c r="P55" s="93">
        <v>2000000</v>
      </c>
      <c r="Q55" s="93">
        <v>0</v>
      </c>
      <c r="R55" s="93">
        <v>2000000</v>
      </c>
      <c r="S55" s="93">
        <v>0</v>
      </c>
      <c r="T55" s="84"/>
      <c r="U55" s="94">
        <v>2000000</v>
      </c>
      <c r="V55" s="94"/>
      <c r="W55" s="94">
        <v>2000000</v>
      </c>
      <c r="X55" s="94">
        <v>2000000</v>
      </c>
      <c r="Y55" s="94"/>
      <c r="Z55" s="94">
        <v>2000000</v>
      </c>
    </row>
    <row r="56" spans="1:26" outlineLevel="3" x14ac:dyDescent="0.25">
      <c r="A56" s="20" t="s">
        <v>93</v>
      </c>
      <c r="B56" s="3" t="s">
        <v>4</v>
      </c>
      <c r="C56" s="28" t="s">
        <v>94</v>
      </c>
      <c r="D56" s="28" t="s">
        <v>5</v>
      </c>
      <c r="E56" s="29" t="s">
        <v>95</v>
      </c>
      <c r="F56" s="10"/>
      <c r="G56" s="10"/>
      <c r="H56" s="10"/>
      <c r="I56" s="10"/>
      <c r="J56" s="10"/>
      <c r="K56" s="11">
        <v>268144.92</v>
      </c>
      <c r="L56" s="11"/>
      <c r="M56" s="92">
        <f>2000000-9677.1-1000000-722177.98</f>
        <v>268144.91999999993</v>
      </c>
      <c r="N56" s="93">
        <v>2000000</v>
      </c>
      <c r="O56" s="93">
        <v>0</v>
      </c>
      <c r="P56" s="93">
        <v>2000000</v>
      </c>
      <c r="Q56" s="93">
        <v>0</v>
      </c>
      <c r="R56" s="93">
        <v>2000000</v>
      </c>
      <c r="S56" s="93">
        <v>0</v>
      </c>
      <c r="T56" s="84"/>
      <c r="U56" s="94">
        <v>2000000</v>
      </c>
      <c r="V56" s="94"/>
      <c r="W56" s="94">
        <v>2000000</v>
      </c>
      <c r="X56" s="94">
        <v>2000000</v>
      </c>
      <c r="Y56" s="94"/>
      <c r="Z56" s="94">
        <v>2000000</v>
      </c>
    </row>
    <row r="57" spans="1:26" outlineLevel="3" x14ac:dyDescent="0.25">
      <c r="A57" s="20" t="s">
        <v>192</v>
      </c>
      <c r="B57" s="3"/>
      <c r="C57" s="28">
        <v>1171400000</v>
      </c>
      <c r="D57" s="28" t="s">
        <v>5</v>
      </c>
      <c r="E57" s="29">
        <v>150</v>
      </c>
      <c r="F57" s="10"/>
      <c r="G57" s="10"/>
      <c r="H57" s="10"/>
      <c r="I57" s="10"/>
      <c r="J57" s="10"/>
      <c r="K57" s="11">
        <f t="shared" ref="K57" si="24">K58</f>
        <v>1000000</v>
      </c>
      <c r="L57" s="11">
        <f>L58</f>
        <v>-480000</v>
      </c>
      <c r="M57" s="92">
        <f>M58</f>
        <v>520000</v>
      </c>
      <c r="N57" s="93"/>
      <c r="O57" s="93"/>
      <c r="P57" s="93"/>
      <c r="Q57" s="93"/>
      <c r="R57" s="93"/>
      <c r="S57" s="93"/>
      <c r="T57" s="84"/>
      <c r="U57" s="94"/>
      <c r="V57" s="94"/>
      <c r="W57" s="94"/>
      <c r="X57" s="94"/>
      <c r="Y57" s="94"/>
      <c r="Z57" s="94"/>
    </row>
    <row r="58" spans="1:26" ht="25.5" outlineLevel="3" x14ac:dyDescent="0.25">
      <c r="A58" s="20" t="s">
        <v>193</v>
      </c>
      <c r="B58" s="3"/>
      <c r="C58" s="28">
        <v>1171402014</v>
      </c>
      <c r="D58" s="28" t="s">
        <v>5</v>
      </c>
      <c r="E58" s="29">
        <v>150</v>
      </c>
      <c r="F58" s="10"/>
      <c r="G58" s="10"/>
      <c r="H58" s="10"/>
      <c r="I58" s="10"/>
      <c r="J58" s="10"/>
      <c r="K58" s="11">
        <v>1000000</v>
      </c>
      <c r="L58" s="11">
        <v>-480000</v>
      </c>
      <c r="M58" s="92">
        <f>K58+L58</f>
        <v>520000</v>
      </c>
      <c r="N58" s="93"/>
      <c r="O58" s="93"/>
      <c r="P58" s="93"/>
      <c r="Q58" s="93"/>
      <c r="R58" s="93"/>
      <c r="S58" s="93"/>
      <c r="T58" s="84"/>
      <c r="U58" s="94"/>
      <c r="V58" s="94"/>
      <c r="W58" s="94"/>
      <c r="X58" s="94"/>
      <c r="Y58" s="94"/>
      <c r="Z58" s="94"/>
    </row>
    <row r="59" spans="1:26" outlineLevel="3" x14ac:dyDescent="0.25">
      <c r="A59" s="20" t="s">
        <v>194</v>
      </c>
      <c r="B59" s="3"/>
      <c r="C59" s="28">
        <v>1171500000</v>
      </c>
      <c r="D59" s="28" t="s">
        <v>5</v>
      </c>
      <c r="E59" s="29">
        <v>150</v>
      </c>
      <c r="F59" s="10"/>
      <c r="G59" s="10"/>
      <c r="H59" s="10"/>
      <c r="I59" s="10"/>
      <c r="J59" s="10"/>
      <c r="K59" s="11">
        <f t="shared" ref="K59" si="25">K60</f>
        <v>722177.98</v>
      </c>
      <c r="L59" s="11">
        <f>L60</f>
        <v>0</v>
      </c>
      <c r="M59" s="92">
        <f>M60</f>
        <v>722177.98</v>
      </c>
      <c r="N59" s="93"/>
      <c r="O59" s="93"/>
      <c r="P59" s="93"/>
      <c r="Q59" s="93"/>
      <c r="R59" s="93"/>
      <c r="S59" s="93"/>
      <c r="T59" s="84"/>
      <c r="U59" s="94"/>
      <c r="V59" s="94"/>
      <c r="W59" s="94"/>
      <c r="X59" s="94"/>
      <c r="Y59" s="94"/>
      <c r="Z59" s="94"/>
    </row>
    <row r="60" spans="1:26" outlineLevel="3" x14ac:dyDescent="0.25">
      <c r="A60" s="20" t="s">
        <v>195</v>
      </c>
      <c r="B60" s="3"/>
      <c r="C60" s="28">
        <v>1171502014</v>
      </c>
      <c r="D60" s="28" t="s">
        <v>5</v>
      </c>
      <c r="E60" s="29">
        <v>150</v>
      </c>
      <c r="F60" s="10"/>
      <c r="G60" s="10"/>
      <c r="H60" s="10"/>
      <c r="I60" s="10"/>
      <c r="J60" s="10"/>
      <c r="K60" s="11">
        <v>722177.98</v>
      </c>
      <c r="L60" s="11"/>
      <c r="M60" s="92">
        <v>722177.98</v>
      </c>
      <c r="N60" s="93"/>
      <c r="O60" s="93"/>
      <c r="P60" s="93"/>
      <c r="Q60" s="93"/>
      <c r="R60" s="93"/>
      <c r="S60" s="93"/>
      <c r="T60" s="84"/>
      <c r="U60" s="94"/>
      <c r="V60" s="94"/>
      <c r="W60" s="94"/>
      <c r="X60" s="94"/>
      <c r="Y60" s="94"/>
      <c r="Z60" s="94"/>
    </row>
    <row r="61" spans="1:26" s="6" customFormat="1" x14ac:dyDescent="0.25">
      <c r="A61" s="52" t="s">
        <v>96</v>
      </c>
      <c r="B61" s="53" t="s">
        <v>4</v>
      </c>
      <c r="C61" s="54" t="s">
        <v>97</v>
      </c>
      <c r="D61" s="54" t="s">
        <v>5</v>
      </c>
      <c r="E61" s="55" t="s">
        <v>4</v>
      </c>
      <c r="F61" s="56"/>
      <c r="G61" s="56"/>
      <c r="H61" s="56"/>
      <c r="I61" s="56"/>
      <c r="J61" s="56"/>
      <c r="K61" s="57">
        <f t="shared" ref="K61:L61" si="26">K62+K63+K65+K91+K109+K120+K64</f>
        <v>595098539.35000002</v>
      </c>
      <c r="L61" s="57">
        <f t="shared" si="26"/>
        <v>103220576.39</v>
      </c>
      <c r="M61" s="85">
        <f>M62+M63+M65+M91+M109+M120+M64</f>
        <v>698319115.74000001</v>
      </c>
      <c r="N61" s="85">
        <f t="shared" ref="N61:S61" si="27">N62+N63+N65+N91+N109+N120</f>
        <v>104920500</v>
      </c>
      <c r="O61" s="85">
        <f t="shared" si="27"/>
        <v>0</v>
      </c>
      <c r="P61" s="85">
        <f t="shared" si="27"/>
        <v>104920500</v>
      </c>
      <c r="Q61" s="85">
        <f t="shared" si="27"/>
        <v>0</v>
      </c>
      <c r="R61" s="85">
        <f t="shared" si="27"/>
        <v>104920500</v>
      </c>
      <c r="S61" s="85">
        <f t="shared" si="27"/>
        <v>0</v>
      </c>
      <c r="T61" s="87"/>
      <c r="U61" s="88">
        <f t="shared" ref="U61:V61" si="28">U62+U63+U65+U91+U109+U120</f>
        <v>484257604.56999999</v>
      </c>
      <c r="V61" s="88">
        <f t="shared" si="28"/>
        <v>-15093239.359999999</v>
      </c>
      <c r="W61" s="88">
        <f>W62+W63+W65+W91+W109+W120</f>
        <v>469164365.20999998</v>
      </c>
      <c r="X61" s="88">
        <f t="shared" ref="X61:Y61" si="29">X62+X63+X65+X91+X109+X120</f>
        <v>403822577.89999998</v>
      </c>
      <c r="Y61" s="88">
        <f t="shared" si="29"/>
        <v>-33123840.760000002</v>
      </c>
      <c r="Z61" s="88">
        <f>Z62+Z63+Z65+Z91+Z109+Z120</f>
        <v>370698737.13999999</v>
      </c>
    </row>
    <row r="62" spans="1:26" ht="25.5" outlineLevel="3" x14ac:dyDescent="0.25">
      <c r="A62" s="20" t="s">
        <v>98</v>
      </c>
      <c r="B62" s="3" t="s">
        <v>4</v>
      </c>
      <c r="C62" s="28" t="s">
        <v>99</v>
      </c>
      <c r="D62" s="28" t="s">
        <v>5</v>
      </c>
      <c r="E62" s="29" t="s">
        <v>100</v>
      </c>
      <c r="F62" s="10"/>
      <c r="G62" s="10"/>
      <c r="H62" s="10"/>
      <c r="I62" s="10"/>
      <c r="J62" s="10"/>
      <c r="K62" s="11">
        <v>103210000</v>
      </c>
      <c r="L62" s="11"/>
      <c r="M62" s="92">
        <v>103210000</v>
      </c>
      <c r="N62" s="93">
        <v>103210000</v>
      </c>
      <c r="O62" s="93">
        <v>0</v>
      </c>
      <c r="P62" s="93">
        <v>103210000</v>
      </c>
      <c r="Q62" s="93">
        <v>0</v>
      </c>
      <c r="R62" s="93">
        <v>103210000</v>
      </c>
      <c r="S62" s="93">
        <v>0</v>
      </c>
      <c r="T62" s="84"/>
      <c r="U62" s="94">
        <v>103210000</v>
      </c>
      <c r="V62" s="94"/>
      <c r="W62" s="94">
        <v>103210000</v>
      </c>
      <c r="X62" s="94">
        <v>103210000</v>
      </c>
      <c r="Y62" s="94"/>
      <c r="Z62" s="94">
        <v>103210000</v>
      </c>
    </row>
    <row r="63" spans="1:26" ht="25.5" outlineLevel="3" x14ac:dyDescent="0.25">
      <c r="A63" s="20" t="s">
        <v>101</v>
      </c>
      <c r="B63" s="3" t="s">
        <v>4</v>
      </c>
      <c r="C63" s="28" t="s">
        <v>102</v>
      </c>
      <c r="D63" s="28" t="s">
        <v>5</v>
      </c>
      <c r="E63" s="29" t="s">
        <v>100</v>
      </c>
      <c r="F63" s="10"/>
      <c r="G63" s="10"/>
      <c r="H63" s="10"/>
      <c r="I63" s="10"/>
      <c r="J63" s="10"/>
      <c r="K63" s="11">
        <v>18669400</v>
      </c>
      <c r="L63" s="11">
        <f>800000+595000+13556800+14799400+12495700</f>
        <v>42246900</v>
      </c>
      <c r="M63" s="92">
        <f>K63+L63</f>
        <v>60916300</v>
      </c>
      <c r="N63" s="93">
        <v>810500</v>
      </c>
      <c r="O63" s="93">
        <v>0</v>
      </c>
      <c r="P63" s="93">
        <v>810500</v>
      </c>
      <c r="Q63" s="93">
        <v>0</v>
      </c>
      <c r="R63" s="93">
        <v>810500</v>
      </c>
      <c r="S63" s="93">
        <v>0</v>
      </c>
      <c r="T63" s="84"/>
      <c r="U63" s="94">
        <v>810500</v>
      </c>
      <c r="V63" s="94"/>
      <c r="W63" s="94">
        <v>810500</v>
      </c>
      <c r="X63" s="94">
        <v>810500</v>
      </c>
      <c r="Y63" s="94"/>
      <c r="Z63" s="94">
        <v>810500</v>
      </c>
    </row>
    <row r="64" spans="1:26" outlineLevel="3" x14ac:dyDescent="0.25">
      <c r="A64" s="20" t="s">
        <v>190</v>
      </c>
      <c r="B64" s="3"/>
      <c r="C64" s="28">
        <v>2021999914</v>
      </c>
      <c r="D64" s="28" t="s">
        <v>5</v>
      </c>
      <c r="E64" s="29" t="s">
        <v>100</v>
      </c>
      <c r="F64" s="10"/>
      <c r="G64" s="10"/>
      <c r="H64" s="10"/>
      <c r="I64" s="10"/>
      <c r="J64" s="10"/>
      <c r="K64" s="11">
        <v>400000</v>
      </c>
      <c r="L64" s="11"/>
      <c r="M64" s="92">
        <v>400000</v>
      </c>
      <c r="N64" s="93"/>
      <c r="O64" s="93"/>
      <c r="P64" s="93"/>
      <c r="Q64" s="93"/>
      <c r="R64" s="93"/>
      <c r="S64" s="93"/>
      <c r="T64" s="84"/>
      <c r="U64" s="94"/>
      <c r="V64" s="94"/>
      <c r="W64" s="94"/>
      <c r="X64" s="94"/>
      <c r="Y64" s="94"/>
      <c r="Z64" s="94"/>
    </row>
    <row r="65" spans="1:26" s="6" customFormat="1" ht="25.5" outlineLevel="2" x14ac:dyDescent="0.25">
      <c r="A65" s="19" t="s">
        <v>103</v>
      </c>
      <c r="B65" s="58" t="s">
        <v>4</v>
      </c>
      <c r="C65" s="26">
        <v>2022000000</v>
      </c>
      <c r="D65" s="59" t="s">
        <v>5</v>
      </c>
      <c r="E65" s="27" t="s">
        <v>4</v>
      </c>
      <c r="F65" s="60"/>
      <c r="G65" s="60"/>
      <c r="H65" s="60"/>
      <c r="I65" s="60"/>
      <c r="J65" s="60"/>
      <c r="K65" s="18">
        <f>SUM(K66:K90)</f>
        <v>167394309.92999998</v>
      </c>
      <c r="L65" s="18">
        <f>SUM(L66:L90)</f>
        <v>28305322.050000001</v>
      </c>
      <c r="M65" s="89">
        <f>SUM(M66:M90)</f>
        <v>195699631.98000002</v>
      </c>
      <c r="N65" s="89">
        <f t="shared" ref="N65:S65" si="30">SUM(N66:N80)</f>
        <v>0</v>
      </c>
      <c r="O65" s="89">
        <f t="shared" si="30"/>
        <v>0</v>
      </c>
      <c r="P65" s="89">
        <f t="shared" si="30"/>
        <v>0</v>
      </c>
      <c r="Q65" s="89">
        <f t="shared" si="30"/>
        <v>0</v>
      </c>
      <c r="R65" s="89">
        <f t="shared" si="30"/>
        <v>0</v>
      </c>
      <c r="S65" s="89">
        <f t="shared" si="30"/>
        <v>0</v>
      </c>
      <c r="T65" s="90"/>
      <c r="U65" s="91">
        <f>SUM(U66:U87)</f>
        <v>118338349.97</v>
      </c>
      <c r="V65" s="91">
        <f>SUM(V66:V87)</f>
        <v>-12927712.359999999</v>
      </c>
      <c r="W65" s="91">
        <f>SUM(W66:W87)</f>
        <v>105410637.61000001</v>
      </c>
      <c r="X65" s="91">
        <f t="shared" ref="X65:Y65" si="31">SUM(X66:X84)</f>
        <v>49305879.390000001</v>
      </c>
      <c r="Y65" s="91">
        <f t="shared" si="31"/>
        <v>-25407143.760000002</v>
      </c>
      <c r="Z65" s="91">
        <f>SUM(Z66:Z84)</f>
        <v>23898735.629999999</v>
      </c>
    </row>
    <row r="66" spans="1:26" ht="76.5" outlineLevel="3" x14ac:dyDescent="0.25">
      <c r="A66" s="20" t="s">
        <v>147</v>
      </c>
      <c r="B66" s="3" t="s">
        <v>4</v>
      </c>
      <c r="C66" s="28">
        <v>2022999914</v>
      </c>
      <c r="D66" s="30" t="s">
        <v>106</v>
      </c>
      <c r="E66" s="29" t="s">
        <v>100</v>
      </c>
      <c r="F66" s="10"/>
      <c r="G66" s="10"/>
      <c r="H66" s="10"/>
      <c r="I66" s="10"/>
      <c r="J66" s="10"/>
      <c r="K66" s="11">
        <v>80205.84</v>
      </c>
      <c r="L66" s="11">
        <v>-21918</v>
      </c>
      <c r="M66" s="92">
        <f>K66+L66</f>
        <v>58287.839999999997</v>
      </c>
      <c r="N66" s="93"/>
      <c r="O66" s="93"/>
      <c r="P66" s="93"/>
      <c r="Q66" s="93"/>
      <c r="R66" s="93"/>
      <c r="S66" s="93"/>
      <c r="T66" s="84"/>
      <c r="U66" s="94">
        <v>56144.09</v>
      </c>
      <c r="V66" s="94"/>
      <c r="W66" s="94">
        <v>56144.09</v>
      </c>
      <c r="X66" s="94">
        <v>24061.75</v>
      </c>
      <c r="Y66" s="94"/>
      <c r="Z66" s="94">
        <v>24061.75</v>
      </c>
    </row>
    <row r="67" spans="1:26" ht="51" outlineLevel="3" x14ac:dyDescent="0.25">
      <c r="A67" s="20" t="s">
        <v>148</v>
      </c>
      <c r="B67" s="3" t="s">
        <v>4</v>
      </c>
      <c r="C67" s="28">
        <v>2022530414</v>
      </c>
      <c r="D67" s="30" t="s">
        <v>5</v>
      </c>
      <c r="E67" s="29" t="s">
        <v>100</v>
      </c>
      <c r="F67" s="10"/>
      <c r="G67" s="10"/>
      <c r="H67" s="10"/>
      <c r="I67" s="10"/>
      <c r="J67" s="10"/>
      <c r="K67" s="11">
        <v>5812588.0199999996</v>
      </c>
      <c r="L67" s="11">
        <f>-507600-259600</f>
        <v>-767200</v>
      </c>
      <c r="M67" s="92">
        <f>K67+L67</f>
        <v>5045388.0199999996</v>
      </c>
      <c r="N67" s="93"/>
      <c r="O67" s="93"/>
      <c r="P67" s="93"/>
      <c r="Q67" s="93"/>
      <c r="R67" s="93"/>
      <c r="S67" s="93"/>
      <c r="T67" s="84"/>
      <c r="U67" s="94">
        <v>5335733.2699999996</v>
      </c>
      <c r="V67" s="94"/>
      <c r="W67" s="94">
        <v>5335733.2699999996</v>
      </c>
      <c r="X67" s="94">
        <v>4615151.28</v>
      </c>
      <c r="Y67" s="94"/>
      <c r="Z67" s="94">
        <v>4615151.28</v>
      </c>
    </row>
    <row r="68" spans="1:26" ht="51" outlineLevel="3" x14ac:dyDescent="0.25">
      <c r="A68" s="20" t="s">
        <v>149</v>
      </c>
      <c r="B68" s="3" t="s">
        <v>4</v>
      </c>
      <c r="C68" s="28">
        <v>2022546714</v>
      </c>
      <c r="D68" s="30" t="s">
        <v>5</v>
      </c>
      <c r="E68" s="29" t="s">
        <v>100</v>
      </c>
      <c r="F68" s="10"/>
      <c r="G68" s="10"/>
      <c r="H68" s="10"/>
      <c r="I68" s="10"/>
      <c r="J68" s="10"/>
      <c r="K68" s="11">
        <v>300000</v>
      </c>
      <c r="L68" s="11"/>
      <c r="M68" s="92">
        <v>300000</v>
      </c>
      <c r="N68" s="93"/>
      <c r="O68" s="93"/>
      <c r="P68" s="93"/>
      <c r="Q68" s="93"/>
      <c r="R68" s="93"/>
      <c r="S68" s="93"/>
      <c r="T68" s="84"/>
      <c r="U68" s="94">
        <v>846104.66</v>
      </c>
      <c r="V68" s="94"/>
      <c r="W68" s="94">
        <v>846104.66</v>
      </c>
      <c r="X68" s="94">
        <v>846104.66</v>
      </c>
      <c r="Y68" s="94"/>
      <c r="Z68" s="94">
        <v>846104.66</v>
      </c>
    </row>
    <row r="69" spans="1:26" ht="25.5" outlineLevel="3" x14ac:dyDescent="0.25">
      <c r="A69" s="20" t="s">
        <v>150</v>
      </c>
      <c r="B69" s="3" t="s">
        <v>4</v>
      </c>
      <c r="C69" s="28">
        <v>2022030214</v>
      </c>
      <c r="D69" s="30" t="s">
        <v>5</v>
      </c>
      <c r="E69" s="29" t="s">
        <v>100</v>
      </c>
      <c r="F69" s="10"/>
      <c r="G69" s="10"/>
      <c r="H69" s="10"/>
      <c r="I69" s="10"/>
      <c r="J69" s="10"/>
      <c r="K69" s="11">
        <v>2980692.22</v>
      </c>
      <c r="L69" s="11">
        <v>173861.23</v>
      </c>
      <c r="M69" s="92">
        <f>2980692.22+L69</f>
        <v>3154553.45</v>
      </c>
      <c r="N69" s="93"/>
      <c r="O69" s="93"/>
      <c r="P69" s="93"/>
      <c r="Q69" s="93"/>
      <c r="R69" s="93"/>
      <c r="S69" s="93"/>
      <c r="T69" s="84"/>
      <c r="U69" s="94"/>
      <c r="V69" s="94">
        <v>12500000</v>
      </c>
      <c r="W69" s="94">
        <f>V69</f>
        <v>12500000</v>
      </c>
      <c r="X69" s="94"/>
      <c r="Y69" s="94"/>
      <c r="Z69" s="94"/>
    </row>
    <row r="70" spans="1:26" ht="63.75" outlineLevel="3" x14ac:dyDescent="0.25">
      <c r="A70" s="20" t="s">
        <v>185</v>
      </c>
      <c r="B70" s="3"/>
      <c r="C70" s="28">
        <v>2022029914</v>
      </c>
      <c r="D70" s="30" t="s">
        <v>5</v>
      </c>
      <c r="E70" s="29">
        <v>150</v>
      </c>
      <c r="F70" s="10"/>
      <c r="G70" s="10"/>
      <c r="H70" s="10"/>
      <c r="I70" s="10"/>
      <c r="J70" s="10"/>
      <c r="K70" s="11">
        <v>99356407.430000007</v>
      </c>
      <c r="L70" s="11">
        <v>2640820.79</v>
      </c>
      <c r="M70" s="92">
        <f>99356407.43+L70</f>
        <v>101997228.22000001</v>
      </c>
      <c r="N70" s="93"/>
      <c r="O70" s="93"/>
      <c r="P70" s="93"/>
      <c r="Q70" s="93"/>
      <c r="R70" s="93"/>
      <c r="S70" s="93"/>
      <c r="T70" s="84"/>
      <c r="U70" s="94"/>
      <c r="V70" s="94"/>
      <c r="W70" s="94"/>
      <c r="X70" s="94"/>
      <c r="Y70" s="94"/>
      <c r="Z70" s="94"/>
    </row>
    <row r="71" spans="1:26" ht="38.25" outlineLevel="3" x14ac:dyDescent="0.25">
      <c r="A71" s="20" t="s">
        <v>151</v>
      </c>
      <c r="B71" s="3" t="s">
        <v>4</v>
      </c>
      <c r="C71" s="28">
        <v>2022999914</v>
      </c>
      <c r="D71" s="30" t="s">
        <v>109</v>
      </c>
      <c r="E71" s="29" t="s">
        <v>100</v>
      </c>
      <c r="F71" s="10"/>
      <c r="G71" s="10"/>
      <c r="H71" s="10"/>
      <c r="I71" s="10"/>
      <c r="J71" s="10"/>
      <c r="K71" s="11">
        <v>47827.64</v>
      </c>
      <c r="L71" s="11">
        <v>-30434.03</v>
      </c>
      <c r="M71" s="92">
        <f>K71+L71</f>
        <v>17393.61</v>
      </c>
      <c r="N71" s="93"/>
      <c r="O71" s="93"/>
      <c r="P71" s="93"/>
      <c r="Q71" s="93"/>
      <c r="R71" s="93"/>
      <c r="S71" s="93"/>
      <c r="T71" s="84"/>
      <c r="U71" s="94">
        <v>31201.63</v>
      </c>
      <c r="V71" s="94"/>
      <c r="W71" s="94">
        <v>31201.63</v>
      </c>
      <c r="X71" s="94">
        <v>13372.13</v>
      </c>
      <c r="Y71" s="94"/>
      <c r="Z71" s="94">
        <v>13372.13</v>
      </c>
    </row>
    <row r="72" spans="1:26" ht="51" outlineLevel="3" x14ac:dyDescent="0.25">
      <c r="A72" s="20" t="s">
        <v>152</v>
      </c>
      <c r="B72" s="3" t="s">
        <v>4</v>
      </c>
      <c r="C72" s="28">
        <v>2022999914</v>
      </c>
      <c r="D72" s="30" t="s">
        <v>105</v>
      </c>
      <c r="E72" s="29" t="s">
        <v>100</v>
      </c>
      <c r="F72" s="10"/>
      <c r="G72" s="10"/>
      <c r="H72" s="10"/>
      <c r="I72" s="10"/>
      <c r="J72" s="10"/>
      <c r="K72" s="11">
        <v>3792317</v>
      </c>
      <c r="L72" s="11"/>
      <c r="M72" s="92">
        <v>3792317</v>
      </c>
      <c r="N72" s="93"/>
      <c r="O72" s="93"/>
      <c r="P72" s="93"/>
      <c r="Q72" s="93"/>
      <c r="R72" s="93"/>
      <c r="S72" s="93"/>
      <c r="T72" s="84"/>
      <c r="U72" s="94">
        <v>3925400</v>
      </c>
      <c r="V72" s="94">
        <v>-125921</v>
      </c>
      <c r="W72" s="94">
        <f>U72+V72</f>
        <v>3799479</v>
      </c>
      <c r="X72" s="94">
        <v>3925400</v>
      </c>
      <c r="Y72" s="94"/>
      <c r="Z72" s="94">
        <v>3925400</v>
      </c>
    </row>
    <row r="73" spans="1:26" ht="38.25" outlineLevel="2" x14ac:dyDescent="0.25">
      <c r="A73" s="20" t="s">
        <v>153</v>
      </c>
      <c r="B73" s="3" t="s">
        <v>4</v>
      </c>
      <c r="C73" s="28">
        <v>2022999914</v>
      </c>
      <c r="D73" s="30" t="s">
        <v>183</v>
      </c>
      <c r="E73" s="29">
        <v>150</v>
      </c>
      <c r="F73" s="10"/>
      <c r="G73" s="10"/>
      <c r="H73" s="10"/>
      <c r="I73" s="10"/>
      <c r="J73" s="10"/>
      <c r="K73" s="11">
        <v>38813200</v>
      </c>
      <c r="L73" s="11"/>
      <c r="M73" s="92">
        <v>38813200</v>
      </c>
      <c r="N73" s="93"/>
      <c r="O73" s="93"/>
      <c r="P73" s="93"/>
      <c r="Q73" s="93"/>
      <c r="R73" s="93"/>
      <c r="S73" s="93"/>
      <c r="T73" s="84"/>
      <c r="U73" s="94">
        <v>39834600</v>
      </c>
      <c r="V73" s="94">
        <v>-25301791.359999999</v>
      </c>
      <c r="W73" s="94">
        <f>39834600-25301791.36</f>
        <v>14532808.640000001</v>
      </c>
      <c r="X73" s="94">
        <v>39834600</v>
      </c>
      <c r="Y73" s="94">
        <v>-25407143.760000002</v>
      </c>
      <c r="Z73" s="94">
        <f>39834600-25407143.76</f>
        <v>14427456.239999998</v>
      </c>
    </row>
    <row r="74" spans="1:26" ht="51" outlineLevel="3" x14ac:dyDescent="0.25">
      <c r="A74" s="20" t="s">
        <v>154</v>
      </c>
      <c r="B74" s="3" t="s">
        <v>4</v>
      </c>
      <c r="C74" s="28">
        <v>2022551914</v>
      </c>
      <c r="D74" s="30" t="s">
        <v>5</v>
      </c>
      <c r="E74" s="29" t="s">
        <v>100</v>
      </c>
      <c r="F74" s="10"/>
      <c r="G74" s="10"/>
      <c r="H74" s="10"/>
      <c r="I74" s="10"/>
      <c r="J74" s="10"/>
      <c r="K74" s="11">
        <v>88923.64</v>
      </c>
      <c r="L74" s="11"/>
      <c r="M74" s="92">
        <v>88923.64</v>
      </c>
      <c r="N74" s="93"/>
      <c r="O74" s="93"/>
      <c r="P74" s="93"/>
      <c r="Q74" s="93"/>
      <c r="R74" s="93"/>
      <c r="S74" s="93"/>
      <c r="T74" s="84"/>
      <c r="U74" s="94">
        <v>47189.57</v>
      </c>
      <c r="V74" s="94"/>
      <c r="W74" s="94">
        <v>47189.57</v>
      </c>
      <c r="X74" s="94">
        <v>47189.57</v>
      </c>
      <c r="Y74" s="94"/>
      <c r="Z74" s="94">
        <v>47189.57</v>
      </c>
    </row>
    <row r="75" spans="1:26" ht="51" outlineLevel="3" x14ac:dyDescent="0.25">
      <c r="A75" s="20" t="s">
        <v>155</v>
      </c>
      <c r="B75" s="3" t="s">
        <v>4</v>
      </c>
      <c r="C75" s="28">
        <v>2022999914</v>
      </c>
      <c r="D75" s="30" t="s">
        <v>107</v>
      </c>
      <c r="E75" s="29" t="s">
        <v>100</v>
      </c>
      <c r="F75" s="10"/>
      <c r="G75" s="10"/>
      <c r="H75" s="10"/>
      <c r="I75" s="10"/>
      <c r="J75" s="10"/>
      <c r="K75" s="11">
        <v>376120</v>
      </c>
      <c r="L75" s="11"/>
      <c r="M75" s="92">
        <v>376120</v>
      </c>
      <c r="N75" s="93"/>
      <c r="O75" s="93"/>
      <c r="P75" s="93"/>
      <c r="Q75" s="93"/>
      <c r="R75" s="93"/>
      <c r="S75" s="93"/>
      <c r="T75" s="84"/>
      <c r="U75" s="94"/>
      <c r="V75" s="94"/>
      <c r="W75" s="94"/>
      <c r="X75" s="94"/>
      <c r="Y75" s="94"/>
      <c r="Z75" s="94"/>
    </row>
    <row r="76" spans="1:26" ht="38.25" outlineLevel="3" x14ac:dyDescent="0.25">
      <c r="A76" s="20" t="s">
        <v>156</v>
      </c>
      <c r="B76" s="3" t="s">
        <v>4</v>
      </c>
      <c r="C76" s="28">
        <v>2022511614</v>
      </c>
      <c r="D76" s="30" t="s">
        <v>5</v>
      </c>
      <c r="E76" s="29" t="s">
        <v>100</v>
      </c>
      <c r="F76" s="10"/>
      <c r="G76" s="10"/>
      <c r="H76" s="10"/>
      <c r="I76" s="10"/>
      <c r="J76" s="10"/>
      <c r="K76" s="11">
        <v>9000000</v>
      </c>
      <c r="L76" s="11"/>
      <c r="M76" s="92">
        <v>9000000</v>
      </c>
      <c r="N76" s="93"/>
      <c r="O76" s="93"/>
      <c r="P76" s="93"/>
      <c r="Q76" s="93"/>
      <c r="R76" s="93"/>
      <c r="S76" s="93"/>
      <c r="T76" s="84"/>
      <c r="U76" s="94"/>
      <c r="V76" s="94"/>
      <c r="W76" s="94"/>
      <c r="X76" s="94"/>
      <c r="Y76" s="94"/>
      <c r="Z76" s="94"/>
    </row>
    <row r="77" spans="1:26" ht="38.25" outlineLevel="3" x14ac:dyDescent="0.25">
      <c r="A77" s="20" t="s">
        <v>157</v>
      </c>
      <c r="B77" s="3" t="s">
        <v>4</v>
      </c>
      <c r="C77" s="28">
        <v>2022999914</v>
      </c>
      <c r="D77" s="30" t="s">
        <v>108</v>
      </c>
      <c r="E77" s="29" t="s">
        <v>100</v>
      </c>
      <c r="F77" s="10"/>
      <c r="G77" s="10"/>
      <c r="H77" s="10"/>
      <c r="I77" s="10"/>
      <c r="J77" s="10"/>
      <c r="K77" s="11">
        <v>1136800</v>
      </c>
      <c r="L77" s="11"/>
      <c r="M77" s="92">
        <v>1136800</v>
      </c>
      <c r="N77" s="93"/>
      <c r="O77" s="93"/>
      <c r="P77" s="93"/>
      <c r="Q77" s="93"/>
      <c r="R77" s="93"/>
      <c r="S77" s="93"/>
      <c r="T77" s="84"/>
      <c r="U77" s="94"/>
      <c r="V77" s="94"/>
      <c r="W77" s="94"/>
      <c r="X77" s="94"/>
      <c r="Y77" s="94"/>
      <c r="Z77" s="94"/>
    </row>
    <row r="78" spans="1:26" ht="38.25" outlineLevel="3" x14ac:dyDescent="0.25">
      <c r="A78" s="20" t="s">
        <v>158</v>
      </c>
      <c r="B78" s="3" t="s">
        <v>4</v>
      </c>
      <c r="C78" s="28">
        <v>2022555514</v>
      </c>
      <c r="D78" s="30" t="s">
        <v>5</v>
      </c>
      <c r="E78" s="29" t="s">
        <v>100</v>
      </c>
      <c r="F78" s="10"/>
      <c r="G78" s="10"/>
      <c r="H78" s="10"/>
      <c r="I78" s="10"/>
      <c r="J78" s="10"/>
      <c r="K78" s="11">
        <v>2306362.1800000002</v>
      </c>
      <c r="L78" s="11"/>
      <c r="M78" s="92">
        <f>2358179.09-51816.91</f>
        <v>2306362.1799999997</v>
      </c>
      <c r="N78" s="93"/>
      <c r="O78" s="93"/>
      <c r="P78" s="93"/>
      <c r="Q78" s="93"/>
      <c r="R78" s="93"/>
      <c r="S78" s="93"/>
      <c r="T78" s="84"/>
      <c r="U78" s="94"/>
      <c r="V78" s="94"/>
      <c r="W78" s="94"/>
      <c r="X78" s="94"/>
      <c r="Y78" s="94"/>
      <c r="Z78" s="94"/>
    </row>
    <row r="79" spans="1:26" ht="38.25" outlineLevel="3" x14ac:dyDescent="0.25">
      <c r="A79" s="21" t="s">
        <v>159</v>
      </c>
      <c r="B79" s="8" t="s">
        <v>4</v>
      </c>
      <c r="C79" s="31">
        <v>2022999914</v>
      </c>
      <c r="D79" s="32" t="s">
        <v>104</v>
      </c>
      <c r="E79" s="33" t="s">
        <v>100</v>
      </c>
      <c r="F79" s="15"/>
      <c r="G79" s="15"/>
      <c r="H79" s="15"/>
      <c r="I79" s="15"/>
      <c r="J79" s="15"/>
      <c r="K79" s="12">
        <v>328000</v>
      </c>
      <c r="L79" s="12"/>
      <c r="M79" s="96">
        <v>328000</v>
      </c>
      <c r="N79" s="97"/>
      <c r="O79" s="97"/>
      <c r="P79" s="97"/>
      <c r="Q79" s="97"/>
      <c r="R79" s="97"/>
      <c r="S79" s="97"/>
      <c r="T79" s="84"/>
      <c r="U79" s="94"/>
      <c r="V79" s="94"/>
      <c r="W79" s="94"/>
      <c r="X79" s="94"/>
      <c r="Y79" s="94"/>
      <c r="Z79" s="94"/>
    </row>
    <row r="80" spans="1:26" ht="25.5" outlineLevel="3" x14ac:dyDescent="0.25">
      <c r="A80" s="22" t="s">
        <v>160</v>
      </c>
      <c r="B80" s="13" t="s">
        <v>4</v>
      </c>
      <c r="C80" s="34">
        <v>2022551914</v>
      </c>
      <c r="D80" s="35" t="s">
        <v>5</v>
      </c>
      <c r="E80" s="36" t="s">
        <v>100</v>
      </c>
      <c r="F80" s="16"/>
      <c r="G80" s="16"/>
      <c r="H80" s="16"/>
      <c r="I80" s="16"/>
      <c r="J80" s="61"/>
      <c r="K80" s="62">
        <v>105000</v>
      </c>
      <c r="L80" s="62"/>
      <c r="M80" s="98">
        <v>105000</v>
      </c>
      <c r="N80" s="99"/>
      <c r="O80" s="99"/>
      <c r="P80" s="99"/>
      <c r="Q80" s="99"/>
      <c r="R80" s="99"/>
      <c r="S80" s="99"/>
      <c r="T80" s="84"/>
      <c r="U80" s="94"/>
      <c r="V80" s="94"/>
      <c r="W80" s="94"/>
      <c r="X80" s="94"/>
      <c r="Y80" s="94"/>
      <c r="Z80" s="94"/>
    </row>
    <row r="81" spans="1:26" ht="25.5" outlineLevel="3" x14ac:dyDescent="0.25">
      <c r="A81" s="41" t="s">
        <v>180</v>
      </c>
      <c r="B81" s="40"/>
      <c r="C81" s="47">
        <v>2022549714</v>
      </c>
      <c r="D81" s="48" t="s">
        <v>5</v>
      </c>
      <c r="E81" s="49">
        <v>150</v>
      </c>
      <c r="F81" s="42"/>
      <c r="G81" s="39"/>
      <c r="H81" s="39"/>
      <c r="I81" s="39"/>
      <c r="J81" s="45"/>
      <c r="K81" s="63">
        <v>805945.14</v>
      </c>
      <c r="L81" s="63">
        <v>-257243.15</v>
      </c>
      <c r="M81" s="100">
        <f>K81+L81</f>
        <v>548701.99</v>
      </c>
      <c r="N81" s="101"/>
      <c r="O81" s="101"/>
      <c r="P81" s="101"/>
      <c r="Q81" s="101"/>
      <c r="R81" s="101"/>
      <c r="S81" s="101"/>
      <c r="T81" s="102"/>
      <c r="U81" s="94"/>
      <c r="V81" s="94"/>
      <c r="W81" s="94"/>
      <c r="X81" s="94"/>
      <c r="Y81" s="94"/>
      <c r="Z81" s="94"/>
    </row>
    <row r="82" spans="1:26" ht="25.5" outlineLevel="3" x14ac:dyDescent="0.25">
      <c r="A82" s="41" t="s">
        <v>181</v>
      </c>
      <c r="B82" s="40"/>
      <c r="C82" s="43">
        <v>2022557614</v>
      </c>
      <c r="D82" s="35" t="s">
        <v>5</v>
      </c>
      <c r="E82" s="44">
        <v>150</v>
      </c>
      <c r="F82" s="42"/>
      <c r="G82" s="39"/>
      <c r="H82" s="39"/>
      <c r="I82" s="39"/>
      <c r="J82" s="45"/>
      <c r="K82" s="63">
        <v>1506020</v>
      </c>
      <c r="L82" s="63">
        <f>-310429.79</f>
        <v>-310429.78999999998</v>
      </c>
      <c r="M82" s="100">
        <f>1506020+L82</f>
        <v>1195590.21</v>
      </c>
      <c r="N82" s="101"/>
      <c r="O82" s="101"/>
      <c r="P82" s="101"/>
      <c r="Q82" s="101"/>
      <c r="R82" s="101"/>
      <c r="S82" s="101"/>
      <c r="T82" s="102"/>
      <c r="U82" s="94"/>
      <c r="V82" s="94"/>
      <c r="W82" s="94"/>
      <c r="X82" s="94"/>
      <c r="Y82" s="94"/>
      <c r="Z82" s="94"/>
    </row>
    <row r="83" spans="1:26" ht="25.5" outlineLevel="3" x14ac:dyDescent="0.25">
      <c r="A83" s="41" t="s">
        <v>186</v>
      </c>
      <c r="B83" s="40"/>
      <c r="C83" s="43">
        <v>2022559914</v>
      </c>
      <c r="D83" s="35" t="s">
        <v>5</v>
      </c>
      <c r="E83" s="44">
        <v>150</v>
      </c>
      <c r="F83" s="42"/>
      <c r="G83" s="39"/>
      <c r="H83" s="39"/>
      <c r="I83" s="39"/>
      <c r="J83" s="45"/>
      <c r="K83" s="63">
        <v>86328</v>
      </c>
      <c r="L83" s="63">
        <f>50292+176220</f>
        <v>226512</v>
      </c>
      <c r="M83" s="100">
        <f>238886.67-152558.67+L83</f>
        <v>312840</v>
      </c>
      <c r="N83" s="101"/>
      <c r="O83" s="101"/>
      <c r="P83" s="101"/>
      <c r="Q83" s="101"/>
      <c r="R83" s="101"/>
      <c r="S83" s="101"/>
      <c r="T83" s="102"/>
      <c r="U83" s="94"/>
      <c r="V83" s="94"/>
      <c r="W83" s="94"/>
      <c r="X83" s="94"/>
      <c r="Y83" s="94"/>
      <c r="Z83" s="94"/>
    </row>
    <row r="84" spans="1:26" ht="25.5" outlineLevel="3" x14ac:dyDescent="0.25">
      <c r="A84" s="41" t="s">
        <v>187</v>
      </c>
      <c r="B84" s="40"/>
      <c r="C84" s="43">
        <v>2022575014</v>
      </c>
      <c r="D84" s="35" t="s">
        <v>5</v>
      </c>
      <c r="E84" s="44">
        <v>150</v>
      </c>
      <c r="F84" s="42"/>
      <c r="G84" s="39"/>
      <c r="H84" s="39"/>
      <c r="I84" s="39"/>
      <c r="J84" s="45"/>
      <c r="K84" s="63"/>
      <c r="L84" s="63"/>
      <c r="M84" s="100"/>
      <c r="N84" s="101"/>
      <c r="O84" s="101"/>
      <c r="P84" s="101"/>
      <c r="Q84" s="101"/>
      <c r="R84" s="101"/>
      <c r="S84" s="101"/>
      <c r="T84" s="102"/>
      <c r="U84" s="94">
        <v>6627906.9800000004</v>
      </c>
      <c r="V84" s="94"/>
      <c r="W84" s="94">
        <v>6627906.9800000004</v>
      </c>
      <c r="X84" s="94"/>
      <c r="Y84" s="94"/>
      <c r="Z84" s="94"/>
    </row>
    <row r="85" spans="1:26" ht="25.5" outlineLevel="3" x14ac:dyDescent="0.25">
      <c r="A85" s="41" t="s">
        <v>188</v>
      </c>
      <c r="B85" s="40"/>
      <c r="C85" s="43">
        <v>2022551114</v>
      </c>
      <c r="D85" s="35" t="s">
        <v>5</v>
      </c>
      <c r="E85" s="44">
        <v>150</v>
      </c>
      <c r="F85" s="42"/>
      <c r="G85" s="39"/>
      <c r="H85" s="39"/>
      <c r="I85" s="39"/>
      <c r="J85" s="45"/>
      <c r="K85" s="63">
        <v>241872.45</v>
      </c>
      <c r="L85" s="63"/>
      <c r="M85" s="100">
        <v>241872.45</v>
      </c>
      <c r="N85" s="101"/>
      <c r="O85" s="101"/>
      <c r="P85" s="101"/>
      <c r="Q85" s="101"/>
      <c r="R85" s="101"/>
      <c r="S85" s="101"/>
      <c r="T85" s="102"/>
      <c r="U85" s="94"/>
      <c r="V85" s="94"/>
      <c r="W85" s="94"/>
      <c r="X85" s="94"/>
      <c r="Y85" s="94"/>
      <c r="Z85" s="94"/>
    </row>
    <row r="86" spans="1:26" ht="25.5" outlineLevel="3" x14ac:dyDescent="0.25">
      <c r="A86" s="73" t="s">
        <v>191</v>
      </c>
      <c r="B86" s="40"/>
      <c r="C86" s="43">
        <v>2022999914</v>
      </c>
      <c r="D86" s="35" t="s">
        <v>108</v>
      </c>
      <c r="E86" s="44" t="s">
        <v>100</v>
      </c>
      <c r="F86" s="42"/>
      <c r="G86" s="39"/>
      <c r="H86" s="39"/>
      <c r="I86" s="39"/>
      <c r="J86" s="45"/>
      <c r="K86" s="63">
        <v>229700.37</v>
      </c>
      <c r="L86" s="63"/>
      <c r="M86" s="100">
        <v>229700.37</v>
      </c>
      <c r="N86" s="101"/>
      <c r="O86" s="101"/>
      <c r="P86" s="101"/>
      <c r="Q86" s="101"/>
      <c r="R86" s="101"/>
      <c r="S86" s="101"/>
      <c r="T86" s="102"/>
      <c r="U86" s="94"/>
      <c r="V86" s="94"/>
      <c r="W86" s="94"/>
      <c r="X86" s="94"/>
      <c r="Y86" s="94"/>
      <c r="Z86" s="94"/>
    </row>
    <row r="87" spans="1:26" ht="25.5" outlineLevel="3" x14ac:dyDescent="0.25">
      <c r="A87" s="75" t="s">
        <v>198</v>
      </c>
      <c r="B87" s="40"/>
      <c r="C87" s="47">
        <v>2022575014</v>
      </c>
      <c r="D87" s="48" t="s">
        <v>5</v>
      </c>
      <c r="E87" s="49">
        <v>150</v>
      </c>
      <c r="F87" s="42"/>
      <c r="G87" s="39"/>
      <c r="H87" s="39"/>
      <c r="I87" s="39"/>
      <c r="J87" s="45"/>
      <c r="K87" s="76"/>
      <c r="L87" s="76"/>
      <c r="M87" s="103"/>
      <c r="N87" s="104"/>
      <c r="O87" s="104"/>
      <c r="P87" s="104"/>
      <c r="Q87" s="104"/>
      <c r="R87" s="104"/>
      <c r="S87" s="104"/>
      <c r="T87" s="105"/>
      <c r="U87" s="103">
        <v>61634069.770000003</v>
      </c>
      <c r="V87" s="103"/>
      <c r="W87" s="103">
        <f>U87+V87</f>
        <v>61634069.770000003</v>
      </c>
      <c r="X87" s="103"/>
      <c r="Y87" s="103"/>
      <c r="Z87" s="103"/>
    </row>
    <row r="88" spans="1:26" ht="25.5" outlineLevel="3" x14ac:dyDescent="0.25">
      <c r="A88" s="75" t="s">
        <v>209</v>
      </c>
      <c r="B88" s="40"/>
      <c r="C88" s="43">
        <v>2022999914</v>
      </c>
      <c r="D88" s="35" t="s">
        <v>208</v>
      </c>
      <c r="E88" s="44" t="s">
        <v>100</v>
      </c>
      <c r="F88" s="122"/>
      <c r="G88" s="122"/>
      <c r="H88" s="122"/>
      <c r="I88" s="122"/>
      <c r="J88" s="122"/>
      <c r="K88" s="76"/>
      <c r="L88" s="76">
        <v>31300</v>
      </c>
      <c r="M88" s="103">
        <f>K88+L88</f>
        <v>31300</v>
      </c>
      <c r="N88" s="104"/>
      <c r="O88" s="104"/>
      <c r="P88" s="104"/>
      <c r="Q88" s="104"/>
      <c r="R88" s="104"/>
      <c r="S88" s="104"/>
      <c r="T88" s="105"/>
      <c r="U88" s="103"/>
      <c r="V88" s="103"/>
      <c r="W88" s="103"/>
      <c r="X88" s="103"/>
      <c r="Y88" s="103"/>
      <c r="Z88" s="103"/>
    </row>
    <row r="89" spans="1:26" ht="51" outlineLevel="3" x14ac:dyDescent="0.25">
      <c r="A89" s="41" t="s">
        <v>204</v>
      </c>
      <c r="B89" s="78"/>
      <c r="C89" s="43">
        <v>2022999914</v>
      </c>
      <c r="D89" s="35" t="s">
        <v>202</v>
      </c>
      <c r="E89" s="44" t="s">
        <v>100</v>
      </c>
      <c r="F89" s="79"/>
      <c r="G89" s="79"/>
      <c r="H89" s="79"/>
      <c r="I89" s="79"/>
      <c r="J89" s="79"/>
      <c r="K89" s="46"/>
      <c r="L89" s="46">
        <f>21785591+1782462</f>
        <v>23568053</v>
      </c>
      <c r="M89" s="94">
        <f>L89</f>
        <v>23568053</v>
      </c>
      <c r="N89" s="101"/>
      <c r="O89" s="101"/>
      <c r="P89" s="101"/>
      <c r="Q89" s="101"/>
      <c r="R89" s="101"/>
      <c r="S89" s="101"/>
      <c r="T89" s="106"/>
      <c r="U89" s="94"/>
      <c r="V89" s="94"/>
      <c r="W89" s="94"/>
      <c r="X89" s="94"/>
      <c r="Y89" s="94"/>
      <c r="Z89" s="94"/>
    </row>
    <row r="90" spans="1:26" ht="38.25" outlineLevel="3" x14ac:dyDescent="0.25">
      <c r="A90" s="41" t="s">
        <v>205</v>
      </c>
      <c r="B90" s="78"/>
      <c r="C90" s="43">
        <v>2022999914</v>
      </c>
      <c r="D90" s="35" t="s">
        <v>203</v>
      </c>
      <c r="E90" s="44" t="s">
        <v>100</v>
      </c>
      <c r="F90" s="79"/>
      <c r="G90" s="79"/>
      <c r="H90" s="79"/>
      <c r="I90" s="79"/>
      <c r="J90" s="79"/>
      <c r="K90" s="46"/>
      <c r="L90" s="46">
        <v>3052000</v>
      </c>
      <c r="M90" s="94">
        <f>L90</f>
        <v>3052000</v>
      </c>
      <c r="N90" s="101"/>
      <c r="O90" s="101"/>
      <c r="P90" s="101"/>
      <c r="Q90" s="101"/>
      <c r="R90" s="101"/>
      <c r="S90" s="101"/>
      <c r="T90" s="106"/>
      <c r="U90" s="94"/>
      <c r="V90" s="94"/>
      <c r="W90" s="94"/>
      <c r="X90" s="94"/>
      <c r="Y90" s="94"/>
      <c r="Z90" s="94"/>
    </row>
    <row r="91" spans="1:26" s="6" customFormat="1" outlineLevel="2" x14ac:dyDescent="0.25">
      <c r="A91" s="77" t="s">
        <v>110</v>
      </c>
      <c r="B91" s="72" t="s">
        <v>4</v>
      </c>
      <c r="C91" s="64" t="s">
        <v>111</v>
      </c>
      <c r="D91" s="65" t="s">
        <v>5</v>
      </c>
      <c r="E91" s="66" t="s">
        <v>4</v>
      </c>
      <c r="F91" s="67"/>
      <c r="G91" s="67"/>
      <c r="H91" s="67"/>
      <c r="I91" s="67"/>
      <c r="J91" s="68"/>
      <c r="K91" s="69">
        <f t="shared" ref="K91" si="32">SUM(K92:K108)</f>
        <v>237279501.18000004</v>
      </c>
      <c r="L91" s="69">
        <f>SUM(L92:L108)</f>
        <v>41203408.580000006</v>
      </c>
      <c r="M91" s="107">
        <f>SUM(M92:M108)</f>
        <v>278482909.76000005</v>
      </c>
      <c r="N91" s="108">
        <f t="shared" ref="N91:S91" si="33">SUM(N92:N108)</f>
        <v>0</v>
      </c>
      <c r="O91" s="108">
        <f t="shared" si="33"/>
        <v>0</v>
      </c>
      <c r="P91" s="108">
        <f t="shared" si="33"/>
        <v>0</v>
      </c>
      <c r="Q91" s="108">
        <f t="shared" si="33"/>
        <v>0</v>
      </c>
      <c r="R91" s="108">
        <f t="shared" si="33"/>
        <v>0</v>
      </c>
      <c r="S91" s="108">
        <f t="shared" si="33"/>
        <v>0</v>
      </c>
      <c r="T91" s="90"/>
      <c r="U91" s="109">
        <f t="shared" ref="U91:V91" si="34">SUM(U92:U108)</f>
        <v>244226715.40000001</v>
      </c>
      <c r="V91" s="109">
        <f t="shared" si="34"/>
        <v>0</v>
      </c>
      <c r="W91" s="109">
        <f t="shared" ref="W91:Z91" si="35">SUM(W92:W108)</f>
        <v>244226715.40000001</v>
      </c>
      <c r="X91" s="109">
        <f t="shared" ref="X91:Y91" si="36">SUM(X92:X108)</f>
        <v>233441805.11000004</v>
      </c>
      <c r="Y91" s="109">
        <f t="shared" si="36"/>
        <v>0</v>
      </c>
      <c r="Z91" s="109">
        <f t="shared" si="35"/>
        <v>233441805.11000004</v>
      </c>
    </row>
    <row r="92" spans="1:26" ht="76.5" outlineLevel="3" x14ac:dyDescent="0.25">
      <c r="A92" s="74" t="s">
        <v>162</v>
      </c>
      <c r="B92" s="3" t="s">
        <v>4</v>
      </c>
      <c r="C92" s="28">
        <v>2023002414</v>
      </c>
      <c r="D92" s="30" t="s">
        <v>112</v>
      </c>
      <c r="E92" s="29" t="s">
        <v>100</v>
      </c>
      <c r="F92" s="10"/>
      <c r="G92" s="10"/>
      <c r="H92" s="10"/>
      <c r="I92" s="10"/>
      <c r="J92" s="10"/>
      <c r="K92" s="11">
        <v>142801910</v>
      </c>
      <c r="L92" s="11">
        <f>14261268.3+4723917+7616100</f>
        <v>26601285.300000001</v>
      </c>
      <c r="M92" s="92">
        <f>142801910+L92</f>
        <v>169403195.30000001</v>
      </c>
      <c r="N92" s="93"/>
      <c r="O92" s="93"/>
      <c r="P92" s="93"/>
      <c r="Q92" s="93"/>
      <c r="R92" s="93"/>
      <c r="S92" s="93"/>
      <c r="T92" s="84"/>
      <c r="U92" s="94">
        <v>146109431.66</v>
      </c>
      <c r="V92" s="94"/>
      <c r="W92" s="94">
        <v>146109431.66</v>
      </c>
      <c r="X92" s="94">
        <v>139493432.86000001</v>
      </c>
      <c r="Y92" s="94"/>
      <c r="Z92" s="94">
        <v>139493432.86000001</v>
      </c>
    </row>
    <row r="93" spans="1:26" ht="38.25" outlineLevel="4" x14ac:dyDescent="0.25">
      <c r="A93" s="23" t="s">
        <v>163</v>
      </c>
      <c r="B93" s="3" t="s">
        <v>69</v>
      </c>
      <c r="C93" s="28">
        <v>2023002414</v>
      </c>
      <c r="D93" s="30" t="s">
        <v>116</v>
      </c>
      <c r="E93" s="29" t="s">
        <v>100</v>
      </c>
      <c r="F93" s="10"/>
      <c r="G93" s="10"/>
      <c r="H93" s="10"/>
      <c r="I93" s="10"/>
      <c r="J93" s="10"/>
      <c r="K93" s="17">
        <v>456800</v>
      </c>
      <c r="L93" s="17">
        <v>221100</v>
      </c>
      <c r="M93" s="110">
        <f>456800+L93</f>
        <v>677900</v>
      </c>
      <c r="N93" s="110"/>
      <c r="O93" s="110"/>
      <c r="P93" s="110"/>
      <c r="Q93" s="110"/>
      <c r="R93" s="110"/>
      <c r="S93" s="110"/>
      <c r="T93" s="111"/>
      <c r="U93" s="112">
        <v>436943.9</v>
      </c>
      <c r="V93" s="112"/>
      <c r="W93" s="112">
        <v>436943.9</v>
      </c>
      <c r="X93" s="112">
        <v>436943.9</v>
      </c>
      <c r="Y93" s="112"/>
      <c r="Z93" s="112">
        <v>436943.9</v>
      </c>
    </row>
    <row r="94" spans="1:26" ht="38.25" outlineLevel="3" x14ac:dyDescent="0.25">
      <c r="A94" s="20" t="s">
        <v>164</v>
      </c>
      <c r="B94" s="3" t="s">
        <v>4</v>
      </c>
      <c r="C94" s="28">
        <v>2023002414</v>
      </c>
      <c r="D94" s="30" t="s">
        <v>117</v>
      </c>
      <c r="E94" s="29" t="s">
        <v>100</v>
      </c>
      <c r="F94" s="10"/>
      <c r="G94" s="10"/>
      <c r="H94" s="10"/>
      <c r="I94" s="10"/>
      <c r="J94" s="10"/>
      <c r="K94" s="11">
        <v>600850.80000000005</v>
      </c>
      <c r="L94" s="11">
        <v>184365.94</v>
      </c>
      <c r="M94" s="92">
        <f>600850.8+L94</f>
        <v>785216.74</v>
      </c>
      <c r="N94" s="93"/>
      <c r="O94" s="93"/>
      <c r="P94" s="93"/>
      <c r="Q94" s="93"/>
      <c r="R94" s="93"/>
      <c r="S94" s="93"/>
      <c r="T94" s="84"/>
      <c r="U94" s="94">
        <v>423173.02</v>
      </c>
      <c r="V94" s="94"/>
      <c r="W94" s="94">
        <v>423173.02</v>
      </c>
      <c r="X94" s="94">
        <v>421966.55</v>
      </c>
      <c r="Y94" s="94"/>
      <c r="Z94" s="94">
        <v>421966.55</v>
      </c>
    </row>
    <row r="95" spans="1:26" ht="165.75" outlineLevel="4" x14ac:dyDescent="0.25">
      <c r="A95" s="23" t="s">
        <v>165</v>
      </c>
      <c r="B95" s="3" t="s">
        <v>54</v>
      </c>
      <c r="C95" s="28">
        <v>2023002414</v>
      </c>
      <c r="D95" s="30" t="s">
        <v>118</v>
      </c>
      <c r="E95" s="29" t="s">
        <v>100</v>
      </c>
      <c r="F95" s="10"/>
      <c r="G95" s="10"/>
      <c r="H95" s="10"/>
      <c r="I95" s="10"/>
      <c r="J95" s="10"/>
      <c r="K95" s="17">
        <v>129660.21</v>
      </c>
      <c r="L95" s="17">
        <f>-75516.41</f>
        <v>-75516.41</v>
      </c>
      <c r="M95" s="110">
        <f>129660.21+L95</f>
        <v>54143.8</v>
      </c>
      <c r="N95" s="110"/>
      <c r="O95" s="110"/>
      <c r="P95" s="110"/>
      <c r="Q95" s="110"/>
      <c r="R95" s="110"/>
      <c r="S95" s="110"/>
      <c r="T95" s="111"/>
      <c r="U95" s="112">
        <v>129177.93</v>
      </c>
      <c r="V95" s="112"/>
      <c r="W95" s="112">
        <v>129177.93</v>
      </c>
      <c r="X95" s="112">
        <v>129192.93</v>
      </c>
      <c r="Y95" s="112"/>
      <c r="Z95" s="112">
        <v>129192.93</v>
      </c>
    </row>
    <row r="96" spans="1:26" ht="63.75" outlineLevel="3" x14ac:dyDescent="0.25">
      <c r="A96" s="20" t="s">
        <v>166</v>
      </c>
      <c r="B96" s="3" t="s">
        <v>4</v>
      </c>
      <c r="C96" s="28">
        <v>2023002914</v>
      </c>
      <c r="D96" s="30" t="s">
        <v>5</v>
      </c>
      <c r="E96" s="29" t="s">
        <v>100</v>
      </c>
      <c r="F96" s="10"/>
      <c r="G96" s="10"/>
      <c r="H96" s="10"/>
      <c r="I96" s="10"/>
      <c r="J96" s="10"/>
      <c r="K96" s="11">
        <v>370154</v>
      </c>
      <c r="L96" s="11">
        <f>-10699-27204.9</f>
        <v>-37903.9</v>
      </c>
      <c r="M96" s="92">
        <f>370154+L96</f>
        <v>332250.09999999998</v>
      </c>
      <c r="N96" s="93"/>
      <c r="O96" s="93"/>
      <c r="P96" s="93"/>
      <c r="Q96" s="93"/>
      <c r="R96" s="93"/>
      <c r="S96" s="93"/>
      <c r="T96" s="84"/>
      <c r="U96" s="94">
        <v>272745.09999999998</v>
      </c>
      <c r="V96" s="94"/>
      <c r="W96" s="94">
        <v>272745.09999999998</v>
      </c>
      <c r="X96" s="94">
        <v>116890.76</v>
      </c>
      <c r="Y96" s="94"/>
      <c r="Z96" s="94">
        <v>116890.76</v>
      </c>
    </row>
    <row r="97" spans="1:26" ht="89.25" outlineLevel="4" x14ac:dyDescent="0.25">
      <c r="A97" s="23" t="s">
        <v>177</v>
      </c>
      <c r="B97" s="3" t="s">
        <v>69</v>
      </c>
      <c r="C97" s="28">
        <v>2023002414</v>
      </c>
      <c r="D97" s="30" t="s">
        <v>121</v>
      </c>
      <c r="E97" s="29" t="s">
        <v>100</v>
      </c>
      <c r="F97" s="10"/>
      <c r="G97" s="10"/>
      <c r="H97" s="10"/>
      <c r="I97" s="10"/>
      <c r="J97" s="10"/>
      <c r="K97" s="17">
        <v>61595.62</v>
      </c>
      <c r="L97" s="17">
        <v>-18049</v>
      </c>
      <c r="M97" s="110">
        <f>K97+L97</f>
        <v>43546.62</v>
      </c>
      <c r="N97" s="110"/>
      <c r="O97" s="110"/>
      <c r="P97" s="110"/>
      <c r="Q97" s="110"/>
      <c r="R97" s="110"/>
      <c r="S97" s="110"/>
      <c r="T97" s="111"/>
      <c r="U97" s="112">
        <v>43116.93</v>
      </c>
      <c r="V97" s="112"/>
      <c r="W97" s="112">
        <v>43116.93</v>
      </c>
      <c r="X97" s="112">
        <v>18478.689999999999</v>
      </c>
      <c r="Y97" s="112"/>
      <c r="Z97" s="112">
        <v>18478.689999999999</v>
      </c>
    </row>
    <row r="98" spans="1:26" ht="51" outlineLevel="3" x14ac:dyDescent="0.25">
      <c r="A98" s="20" t="s">
        <v>176</v>
      </c>
      <c r="B98" s="3" t="s">
        <v>4</v>
      </c>
      <c r="C98" s="28">
        <v>2023002414</v>
      </c>
      <c r="D98" s="30" t="s">
        <v>114</v>
      </c>
      <c r="E98" s="29" t="s">
        <v>100</v>
      </c>
      <c r="F98" s="10"/>
      <c r="G98" s="10"/>
      <c r="H98" s="10"/>
      <c r="I98" s="10"/>
      <c r="J98" s="10"/>
      <c r="K98" s="11">
        <v>86878592.5</v>
      </c>
      <c r="L98" s="11">
        <f>6365974.65+5227604+2663000</f>
        <v>14256578.65</v>
      </c>
      <c r="M98" s="92">
        <f>86878592.5+L98</f>
        <v>101135171.15000001</v>
      </c>
      <c r="N98" s="93"/>
      <c r="O98" s="93"/>
      <c r="P98" s="93"/>
      <c r="Q98" s="93"/>
      <c r="R98" s="93"/>
      <c r="S98" s="93"/>
      <c r="T98" s="84"/>
      <c r="U98" s="94">
        <v>92098214.140000001</v>
      </c>
      <c r="V98" s="94"/>
      <c r="W98" s="94">
        <v>92098214.140000001</v>
      </c>
      <c r="X98" s="94">
        <v>89082365.299999997</v>
      </c>
      <c r="Y98" s="94"/>
      <c r="Z98" s="94">
        <v>89082365.299999997</v>
      </c>
    </row>
    <row r="99" spans="1:26" ht="89.25" outlineLevel="4" x14ac:dyDescent="0.25">
      <c r="A99" s="23" t="s">
        <v>161</v>
      </c>
      <c r="B99" s="3" t="s">
        <v>69</v>
      </c>
      <c r="C99" s="28">
        <v>2023002414</v>
      </c>
      <c r="D99" s="30" t="s">
        <v>123</v>
      </c>
      <c r="E99" s="29" t="s">
        <v>100</v>
      </c>
      <c r="F99" s="10"/>
      <c r="G99" s="10"/>
      <c r="H99" s="10"/>
      <c r="I99" s="10"/>
      <c r="J99" s="10"/>
      <c r="K99" s="17">
        <v>259500</v>
      </c>
      <c r="L99" s="17">
        <v>118100</v>
      </c>
      <c r="M99" s="110">
        <f>259500+L99</f>
        <v>377600</v>
      </c>
      <c r="N99" s="110"/>
      <c r="O99" s="110"/>
      <c r="P99" s="110"/>
      <c r="Q99" s="110"/>
      <c r="R99" s="110"/>
      <c r="S99" s="110"/>
      <c r="T99" s="111"/>
      <c r="U99" s="112">
        <v>241500</v>
      </c>
      <c r="V99" s="112"/>
      <c r="W99" s="112">
        <v>241500</v>
      </c>
      <c r="X99" s="112">
        <v>241500</v>
      </c>
      <c r="Y99" s="112"/>
      <c r="Z99" s="112">
        <v>241500</v>
      </c>
    </row>
    <row r="100" spans="1:26" ht="89.25" outlineLevel="3" x14ac:dyDescent="0.25">
      <c r="A100" s="20" t="s">
        <v>175</v>
      </c>
      <c r="B100" s="3" t="s">
        <v>4</v>
      </c>
      <c r="C100" s="28">
        <v>2023002414</v>
      </c>
      <c r="D100" s="30" t="s">
        <v>120</v>
      </c>
      <c r="E100" s="29" t="s">
        <v>100</v>
      </c>
      <c r="F100" s="10"/>
      <c r="G100" s="10"/>
      <c r="H100" s="10"/>
      <c r="I100" s="10"/>
      <c r="J100" s="10"/>
      <c r="K100" s="11">
        <v>127456</v>
      </c>
      <c r="L100" s="11"/>
      <c r="M100" s="92">
        <v>127456</v>
      </c>
      <c r="N100" s="93"/>
      <c r="O100" s="93"/>
      <c r="P100" s="93"/>
      <c r="Q100" s="93"/>
      <c r="R100" s="93"/>
      <c r="S100" s="93"/>
      <c r="T100" s="84"/>
      <c r="U100" s="94">
        <v>89219.199999999997</v>
      </c>
      <c r="V100" s="94"/>
      <c r="W100" s="94">
        <v>89219.199999999997</v>
      </c>
      <c r="X100" s="94">
        <v>38236.800000000003</v>
      </c>
      <c r="Y100" s="94"/>
      <c r="Z100" s="94">
        <v>38236.800000000003</v>
      </c>
    </row>
    <row r="101" spans="1:26" ht="76.5" outlineLevel="4" x14ac:dyDescent="0.25">
      <c r="A101" s="23" t="s">
        <v>174</v>
      </c>
      <c r="B101" s="3" t="s">
        <v>54</v>
      </c>
      <c r="C101" s="28">
        <v>2023002414</v>
      </c>
      <c r="D101" s="30" t="s">
        <v>124</v>
      </c>
      <c r="E101" s="29" t="s">
        <v>100</v>
      </c>
      <c r="F101" s="10"/>
      <c r="G101" s="10"/>
      <c r="H101" s="10"/>
      <c r="I101" s="10"/>
      <c r="J101" s="10"/>
      <c r="K101" s="17">
        <v>860591.11</v>
      </c>
      <c r="L101" s="17"/>
      <c r="M101" s="110">
        <v>860591.11</v>
      </c>
      <c r="N101" s="110"/>
      <c r="O101" s="110"/>
      <c r="P101" s="110"/>
      <c r="Q101" s="110"/>
      <c r="R101" s="110"/>
      <c r="S101" s="110"/>
      <c r="T101" s="111"/>
      <c r="U101" s="112">
        <v>602413.78</v>
      </c>
      <c r="V101" s="112"/>
      <c r="W101" s="112">
        <v>602413.78</v>
      </c>
      <c r="X101" s="112">
        <v>258177.33</v>
      </c>
      <c r="Y101" s="112"/>
      <c r="Z101" s="112">
        <v>258177.33</v>
      </c>
    </row>
    <row r="102" spans="1:26" ht="63.75" outlineLevel="3" x14ac:dyDescent="0.25">
      <c r="A102" s="20" t="s">
        <v>167</v>
      </c>
      <c r="B102" s="3" t="s">
        <v>4</v>
      </c>
      <c r="C102" s="28">
        <v>2023512014</v>
      </c>
      <c r="D102" s="30" t="s">
        <v>5</v>
      </c>
      <c r="E102" s="29" t="s">
        <v>100</v>
      </c>
      <c r="F102" s="10"/>
      <c r="G102" s="10"/>
      <c r="H102" s="10"/>
      <c r="I102" s="10"/>
      <c r="J102" s="10"/>
      <c r="K102" s="11">
        <v>5900</v>
      </c>
      <c r="L102" s="11"/>
      <c r="M102" s="92">
        <v>5900</v>
      </c>
      <c r="N102" s="93"/>
      <c r="O102" s="93"/>
      <c r="P102" s="93"/>
      <c r="Q102" s="93"/>
      <c r="R102" s="93"/>
      <c r="S102" s="93"/>
      <c r="T102" s="84"/>
      <c r="U102" s="94">
        <v>6000</v>
      </c>
      <c r="V102" s="94"/>
      <c r="W102" s="94">
        <v>6000</v>
      </c>
      <c r="X102" s="94">
        <v>62500</v>
      </c>
      <c r="Y102" s="94"/>
      <c r="Z102" s="94">
        <v>62500</v>
      </c>
    </row>
    <row r="103" spans="1:26" ht="51" outlineLevel="4" x14ac:dyDescent="0.25">
      <c r="A103" s="23" t="s">
        <v>173</v>
      </c>
      <c r="B103" s="3" t="s">
        <v>54</v>
      </c>
      <c r="C103" s="28">
        <v>2023002414</v>
      </c>
      <c r="D103" s="30" t="s">
        <v>115</v>
      </c>
      <c r="E103" s="29" t="s">
        <v>100</v>
      </c>
      <c r="F103" s="10"/>
      <c r="G103" s="10"/>
      <c r="H103" s="10"/>
      <c r="I103" s="10"/>
      <c r="J103" s="10"/>
      <c r="K103" s="17">
        <v>2162173</v>
      </c>
      <c r="L103" s="17">
        <v>67148</v>
      </c>
      <c r="M103" s="110">
        <f>2162173+L103</f>
        <v>2229321</v>
      </c>
      <c r="N103" s="110"/>
      <c r="O103" s="110"/>
      <c r="P103" s="110"/>
      <c r="Q103" s="110"/>
      <c r="R103" s="110"/>
      <c r="S103" s="110"/>
      <c r="T103" s="111"/>
      <c r="U103" s="112">
        <v>1429679.74</v>
      </c>
      <c r="V103" s="112"/>
      <c r="W103" s="112">
        <v>1429679.74</v>
      </c>
      <c r="X103" s="112">
        <v>612719.99</v>
      </c>
      <c r="Y103" s="112"/>
      <c r="Z103" s="112">
        <v>612719.99</v>
      </c>
    </row>
    <row r="104" spans="1:26" ht="51" outlineLevel="3" x14ac:dyDescent="0.25">
      <c r="A104" s="20" t="s">
        <v>172</v>
      </c>
      <c r="B104" s="3" t="s">
        <v>4</v>
      </c>
      <c r="C104" s="28">
        <v>2023002414</v>
      </c>
      <c r="D104" s="30" t="s">
        <v>122</v>
      </c>
      <c r="E104" s="29" t="s">
        <v>100</v>
      </c>
      <c r="F104" s="10"/>
      <c r="G104" s="10"/>
      <c r="H104" s="10"/>
      <c r="I104" s="10"/>
      <c r="J104" s="10"/>
      <c r="K104" s="11">
        <v>389481.14</v>
      </c>
      <c r="L104" s="11"/>
      <c r="M104" s="92">
        <f>K104+L104</f>
        <v>389481.14</v>
      </c>
      <c r="N104" s="93"/>
      <c r="O104" s="93"/>
      <c r="P104" s="93"/>
      <c r="Q104" s="93"/>
      <c r="R104" s="93"/>
      <c r="S104" s="93"/>
      <c r="T104" s="84"/>
      <c r="U104" s="94"/>
      <c r="V104" s="94"/>
      <c r="W104" s="94"/>
      <c r="X104" s="94"/>
      <c r="Y104" s="94"/>
      <c r="Z104" s="94"/>
    </row>
    <row r="105" spans="1:26" ht="63.75" outlineLevel="4" x14ac:dyDescent="0.25">
      <c r="A105" s="23" t="s">
        <v>171</v>
      </c>
      <c r="B105" s="3" t="s">
        <v>54</v>
      </c>
      <c r="C105" s="28">
        <v>2023002414</v>
      </c>
      <c r="D105" s="30" t="s">
        <v>113</v>
      </c>
      <c r="E105" s="29" t="s">
        <v>100</v>
      </c>
      <c r="F105" s="10"/>
      <c r="G105" s="10"/>
      <c r="H105" s="10"/>
      <c r="I105" s="10"/>
      <c r="J105" s="10"/>
      <c r="K105" s="17">
        <v>34836.800000000003</v>
      </c>
      <c r="L105" s="17"/>
      <c r="M105" s="110">
        <v>34836.800000000003</v>
      </c>
      <c r="N105" s="110"/>
      <c r="O105" s="110"/>
      <c r="P105" s="110"/>
      <c r="Q105" s="110"/>
      <c r="R105" s="110"/>
      <c r="S105" s="110"/>
      <c r="T105" s="111"/>
      <c r="U105" s="112"/>
      <c r="V105" s="112"/>
      <c r="W105" s="112"/>
      <c r="X105" s="112"/>
      <c r="Y105" s="112"/>
      <c r="Z105" s="112"/>
    </row>
    <row r="106" spans="1:26" ht="38.25" outlineLevel="3" x14ac:dyDescent="0.25">
      <c r="A106" s="20" t="s">
        <v>170</v>
      </c>
      <c r="B106" s="3" t="s">
        <v>4</v>
      </c>
      <c r="C106" s="28">
        <v>2023002414</v>
      </c>
      <c r="D106" s="30" t="s">
        <v>119</v>
      </c>
      <c r="E106" s="29" t="s">
        <v>100</v>
      </c>
      <c r="F106" s="10"/>
      <c r="G106" s="10"/>
      <c r="H106" s="10"/>
      <c r="I106" s="10"/>
      <c r="J106" s="10"/>
      <c r="K106" s="11">
        <v>10000</v>
      </c>
      <c r="L106" s="11"/>
      <c r="M106" s="92">
        <v>10000</v>
      </c>
      <c r="N106" s="93"/>
      <c r="O106" s="93"/>
      <c r="P106" s="93"/>
      <c r="Q106" s="93"/>
      <c r="R106" s="93"/>
      <c r="S106" s="93"/>
      <c r="T106" s="84"/>
      <c r="U106" s="94"/>
      <c r="V106" s="94"/>
      <c r="W106" s="94"/>
      <c r="X106" s="94"/>
      <c r="Y106" s="94"/>
      <c r="Z106" s="94"/>
    </row>
    <row r="107" spans="1:26" ht="127.5" outlineLevel="4" x14ac:dyDescent="0.25">
      <c r="A107" s="23" t="s">
        <v>169</v>
      </c>
      <c r="B107" s="3" t="s">
        <v>54</v>
      </c>
      <c r="C107" s="28">
        <v>2023511814</v>
      </c>
      <c r="D107" s="30" t="s">
        <v>5</v>
      </c>
      <c r="E107" s="29" t="s">
        <v>100</v>
      </c>
      <c r="F107" s="10"/>
      <c r="G107" s="10"/>
      <c r="H107" s="10"/>
      <c r="I107" s="10"/>
      <c r="J107" s="10"/>
      <c r="K107" s="17">
        <v>1179000</v>
      </c>
      <c r="L107" s="17">
        <f>-113700</f>
        <v>-113700</v>
      </c>
      <c r="M107" s="110">
        <f>1179000+L107</f>
        <v>1065300</v>
      </c>
      <c r="N107" s="110"/>
      <c r="O107" s="110"/>
      <c r="P107" s="110"/>
      <c r="Q107" s="110"/>
      <c r="R107" s="110"/>
      <c r="S107" s="110"/>
      <c r="T107" s="111"/>
      <c r="U107" s="112">
        <v>1400000</v>
      </c>
      <c r="V107" s="112"/>
      <c r="W107" s="112">
        <v>1400000</v>
      </c>
      <c r="X107" s="112">
        <v>1550000</v>
      </c>
      <c r="Y107" s="112"/>
      <c r="Z107" s="112">
        <v>1550000</v>
      </c>
    </row>
    <row r="108" spans="1:26" ht="38.25" outlineLevel="3" x14ac:dyDescent="0.25">
      <c r="A108" s="20" t="s">
        <v>168</v>
      </c>
      <c r="B108" s="3" t="s">
        <v>4</v>
      </c>
      <c r="C108" s="28">
        <v>2023593014</v>
      </c>
      <c r="D108" s="30" t="s">
        <v>5</v>
      </c>
      <c r="E108" s="29" t="s">
        <v>100</v>
      </c>
      <c r="F108" s="10"/>
      <c r="G108" s="10"/>
      <c r="H108" s="10"/>
      <c r="I108" s="10"/>
      <c r="J108" s="10"/>
      <c r="K108" s="11">
        <v>951000</v>
      </c>
      <c r="L108" s="11"/>
      <c r="M108" s="92">
        <v>951000</v>
      </c>
      <c r="N108" s="93"/>
      <c r="O108" s="93"/>
      <c r="P108" s="93"/>
      <c r="Q108" s="93"/>
      <c r="R108" s="93"/>
      <c r="S108" s="93"/>
      <c r="T108" s="84"/>
      <c r="U108" s="94">
        <v>945100</v>
      </c>
      <c r="V108" s="94"/>
      <c r="W108" s="94">
        <v>945100</v>
      </c>
      <c r="X108" s="94">
        <v>979400</v>
      </c>
      <c r="Y108" s="94"/>
      <c r="Z108" s="94">
        <v>979400</v>
      </c>
    </row>
    <row r="109" spans="1:26" s="6" customFormat="1" outlineLevel="4" x14ac:dyDescent="0.25">
      <c r="A109" s="70" t="s">
        <v>140</v>
      </c>
      <c r="B109" s="58"/>
      <c r="C109" s="26">
        <v>2024000000</v>
      </c>
      <c r="D109" s="59" t="s">
        <v>5</v>
      </c>
      <c r="E109" s="27" t="s">
        <v>4</v>
      </c>
      <c r="F109" s="60"/>
      <c r="G109" s="60"/>
      <c r="H109" s="60"/>
      <c r="I109" s="60"/>
      <c r="J109" s="60"/>
      <c r="K109" s="71">
        <f t="shared" ref="K109:L109" si="37">SUM(K110:K119)</f>
        <v>41735651.140000001</v>
      </c>
      <c r="L109" s="71">
        <f t="shared" si="37"/>
        <v>564945.75999999978</v>
      </c>
      <c r="M109" s="113">
        <f>SUM(M110:M119)</f>
        <v>42300596.900000006</v>
      </c>
      <c r="N109" s="113">
        <f t="shared" ref="N109:S109" si="38">SUM(N110:N116)</f>
        <v>0</v>
      </c>
      <c r="O109" s="113">
        <f t="shared" si="38"/>
        <v>0</v>
      </c>
      <c r="P109" s="113">
        <f t="shared" si="38"/>
        <v>0</v>
      </c>
      <c r="Q109" s="113">
        <f t="shared" si="38"/>
        <v>0</v>
      </c>
      <c r="R109" s="113">
        <f t="shared" si="38"/>
        <v>0</v>
      </c>
      <c r="S109" s="113">
        <f t="shared" si="38"/>
        <v>0</v>
      </c>
      <c r="T109" s="114"/>
      <c r="U109" s="115">
        <f t="shared" ref="U109:V109" si="39">SUM(U110:U116)</f>
        <v>17672039.199999999</v>
      </c>
      <c r="V109" s="115">
        <f t="shared" si="39"/>
        <v>-8165527</v>
      </c>
      <c r="W109" s="115">
        <f t="shared" ref="W109:Z109" si="40">SUM(W110:W116)</f>
        <v>9506512.1999999993</v>
      </c>
      <c r="X109" s="115">
        <f t="shared" ref="X109:Y109" si="41">SUM(X110:X116)</f>
        <v>17054393.399999999</v>
      </c>
      <c r="Y109" s="115">
        <f t="shared" si="41"/>
        <v>-7716697</v>
      </c>
      <c r="Z109" s="115">
        <f t="shared" si="40"/>
        <v>9337696.4000000004</v>
      </c>
    </row>
    <row r="110" spans="1:26" ht="51" outlineLevel="3" x14ac:dyDescent="0.25">
      <c r="A110" s="24" t="s">
        <v>141</v>
      </c>
      <c r="B110" s="9"/>
      <c r="C110" s="28">
        <v>2024530314</v>
      </c>
      <c r="D110" s="30" t="s">
        <v>5</v>
      </c>
      <c r="E110" s="29">
        <v>150</v>
      </c>
      <c r="F110" s="10"/>
      <c r="G110" s="10"/>
      <c r="H110" s="10"/>
      <c r="I110" s="10"/>
      <c r="J110" s="10"/>
      <c r="K110" s="11">
        <v>18498219</v>
      </c>
      <c r="L110" s="11">
        <f>-3480300-999611</f>
        <v>-4479911</v>
      </c>
      <c r="M110" s="92">
        <f>8552865+9945354+L110</f>
        <v>14018308</v>
      </c>
      <c r="N110" s="93"/>
      <c r="O110" s="93"/>
      <c r="P110" s="93"/>
      <c r="Q110" s="93"/>
      <c r="R110" s="93"/>
      <c r="S110" s="93"/>
      <c r="T110" s="84"/>
      <c r="U110" s="94">
        <v>16331054</v>
      </c>
      <c r="V110" s="94">
        <v>-8165527</v>
      </c>
      <c r="W110" s="94">
        <f>U110+V110</f>
        <v>8165527</v>
      </c>
      <c r="X110" s="94">
        <v>15433394</v>
      </c>
      <c r="Y110" s="94">
        <v>-7716697</v>
      </c>
      <c r="Z110" s="94">
        <f>X110+Y110</f>
        <v>7716697</v>
      </c>
    </row>
    <row r="111" spans="1:26" ht="89.25" outlineLevel="3" x14ac:dyDescent="0.25">
      <c r="A111" s="24" t="s">
        <v>206</v>
      </c>
      <c r="B111" s="9"/>
      <c r="C111" s="80">
        <v>2024505014</v>
      </c>
      <c r="D111" s="81" t="s">
        <v>5</v>
      </c>
      <c r="E111" s="82">
        <v>150</v>
      </c>
      <c r="F111" s="10"/>
      <c r="G111" s="10"/>
      <c r="H111" s="10"/>
      <c r="I111" s="10"/>
      <c r="J111" s="10"/>
      <c r="K111" s="11"/>
      <c r="L111" s="11">
        <v>179676</v>
      </c>
      <c r="M111" s="92">
        <f>K111+L111</f>
        <v>179676</v>
      </c>
      <c r="N111" s="93"/>
      <c r="O111" s="93"/>
      <c r="P111" s="93"/>
      <c r="Q111" s="93"/>
      <c r="R111" s="93"/>
      <c r="S111" s="93"/>
      <c r="T111" s="84"/>
      <c r="U111" s="94"/>
      <c r="V111" s="94"/>
      <c r="W111" s="94"/>
      <c r="X111" s="94"/>
      <c r="Y111" s="94"/>
      <c r="Z111" s="94"/>
    </row>
    <row r="112" spans="1:26" ht="38.25" outlineLevel="3" x14ac:dyDescent="0.25">
      <c r="A112" s="24" t="s">
        <v>142</v>
      </c>
      <c r="B112" s="9"/>
      <c r="C112" s="28">
        <v>2024999914</v>
      </c>
      <c r="D112" s="30" t="s">
        <v>5</v>
      </c>
      <c r="E112" s="29">
        <v>150</v>
      </c>
      <c r="F112" s="10"/>
      <c r="G112" s="10"/>
      <c r="H112" s="10"/>
      <c r="I112" s="10"/>
      <c r="J112" s="10"/>
      <c r="K112" s="11">
        <v>5344950</v>
      </c>
      <c r="L112" s="11"/>
      <c r="M112" s="92">
        <v>5344950</v>
      </c>
      <c r="N112" s="93"/>
      <c r="O112" s="93"/>
      <c r="P112" s="93"/>
      <c r="Q112" s="93"/>
      <c r="R112" s="93"/>
      <c r="S112" s="93"/>
      <c r="T112" s="84"/>
      <c r="U112" s="94"/>
      <c r="V112" s="94"/>
      <c r="W112" s="94"/>
      <c r="X112" s="94"/>
      <c r="Y112" s="94"/>
      <c r="Z112" s="94"/>
    </row>
    <row r="113" spans="1:26" ht="76.5" outlineLevel="2" x14ac:dyDescent="0.25">
      <c r="A113" s="24" t="s">
        <v>143</v>
      </c>
      <c r="B113" s="9"/>
      <c r="C113" s="28">
        <v>2024517914</v>
      </c>
      <c r="D113" s="30" t="s">
        <v>5</v>
      </c>
      <c r="E113" s="29">
        <v>150</v>
      </c>
      <c r="F113" s="10"/>
      <c r="G113" s="10"/>
      <c r="H113" s="10"/>
      <c r="I113" s="10"/>
      <c r="J113" s="10"/>
      <c r="K113" s="11">
        <v>1340985.2</v>
      </c>
      <c r="L113" s="11"/>
      <c r="M113" s="92">
        <f>1340742.49+242.71</f>
        <v>1340985.2</v>
      </c>
      <c r="N113" s="93"/>
      <c r="O113" s="93"/>
      <c r="P113" s="93"/>
      <c r="Q113" s="93"/>
      <c r="R113" s="93"/>
      <c r="S113" s="93"/>
      <c r="T113" s="84"/>
      <c r="U113" s="94">
        <v>1340985.2</v>
      </c>
      <c r="V113" s="94"/>
      <c r="W113" s="94">
        <f>1340742.49+242.71</f>
        <v>1340985.2</v>
      </c>
      <c r="X113" s="94">
        <v>1620999.4</v>
      </c>
      <c r="Y113" s="94"/>
      <c r="Z113" s="94">
        <f>1461258.67+159740.73</f>
        <v>1620999.4</v>
      </c>
    </row>
    <row r="114" spans="1:26" ht="51" outlineLevel="3" x14ac:dyDescent="0.25">
      <c r="A114" s="24" t="s">
        <v>144</v>
      </c>
      <c r="B114" s="9"/>
      <c r="C114" s="28">
        <v>2024999914</v>
      </c>
      <c r="D114" s="30" t="s">
        <v>5</v>
      </c>
      <c r="E114" s="29">
        <v>150</v>
      </c>
      <c r="F114" s="10"/>
      <c r="G114" s="10"/>
      <c r="H114" s="10"/>
      <c r="I114" s="10"/>
      <c r="J114" s="10"/>
      <c r="K114" s="11">
        <v>291339.59999999998</v>
      </c>
      <c r="L114" s="11"/>
      <c r="M114" s="92">
        <v>291339.59999999998</v>
      </c>
      <c r="N114" s="93"/>
      <c r="O114" s="93"/>
      <c r="P114" s="93"/>
      <c r="Q114" s="93"/>
      <c r="R114" s="93"/>
      <c r="S114" s="93"/>
      <c r="T114" s="84"/>
      <c r="U114" s="94"/>
      <c r="V114" s="94"/>
      <c r="W114" s="94"/>
      <c r="X114" s="94"/>
      <c r="Y114" s="94"/>
      <c r="Z114" s="94"/>
    </row>
    <row r="115" spans="1:26" ht="76.5" outlineLevel="4" x14ac:dyDescent="0.25">
      <c r="A115" s="25" t="s">
        <v>145</v>
      </c>
      <c r="B115" s="9"/>
      <c r="C115" s="28">
        <v>2024999914</v>
      </c>
      <c r="D115" s="30" t="s">
        <v>5</v>
      </c>
      <c r="E115" s="29">
        <v>150</v>
      </c>
      <c r="F115" s="10"/>
      <c r="G115" s="10"/>
      <c r="H115" s="10"/>
      <c r="I115" s="10"/>
      <c r="J115" s="10"/>
      <c r="K115" s="17">
        <v>854359.38</v>
      </c>
      <c r="L115" s="17"/>
      <c r="M115" s="110">
        <v>854359.38</v>
      </c>
      <c r="N115" s="110"/>
      <c r="O115" s="110"/>
      <c r="P115" s="110"/>
      <c r="Q115" s="110"/>
      <c r="R115" s="110"/>
      <c r="S115" s="110"/>
      <c r="T115" s="111"/>
      <c r="U115" s="112"/>
      <c r="V115" s="112"/>
      <c r="W115" s="112"/>
      <c r="X115" s="112"/>
      <c r="Y115" s="112"/>
      <c r="Z115" s="112"/>
    </row>
    <row r="116" spans="1:26" ht="63.75" outlineLevel="4" x14ac:dyDescent="0.25">
      <c r="A116" s="25" t="s">
        <v>146</v>
      </c>
      <c r="B116" s="9"/>
      <c r="C116" s="28">
        <v>2024999914</v>
      </c>
      <c r="D116" s="30" t="s">
        <v>5</v>
      </c>
      <c r="E116" s="29">
        <v>150</v>
      </c>
      <c r="F116" s="10"/>
      <c r="G116" s="10"/>
      <c r="H116" s="10"/>
      <c r="I116" s="10"/>
      <c r="J116" s="10"/>
      <c r="K116" s="17">
        <f t="shared" ref="K116" si="42">383836.5+7218.46</f>
        <v>391054.96</v>
      </c>
      <c r="L116" s="17">
        <f>384795.04-27075.13</f>
        <v>357719.91</v>
      </c>
      <c r="M116" s="110">
        <f>383836.5+7218.46+L116</f>
        <v>748774.87</v>
      </c>
      <c r="N116" s="110"/>
      <c r="O116" s="110"/>
      <c r="P116" s="110"/>
      <c r="Q116" s="110"/>
      <c r="R116" s="110"/>
      <c r="S116" s="110"/>
      <c r="T116" s="111"/>
      <c r="U116" s="112"/>
      <c r="V116" s="112"/>
      <c r="W116" s="112"/>
      <c r="X116" s="112"/>
      <c r="Y116" s="112"/>
      <c r="Z116" s="112"/>
    </row>
    <row r="117" spans="1:26" ht="102" outlineLevel="4" x14ac:dyDescent="0.25">
      <c r="A117" s="25" t="s">
        <v>184</v>
      </c>
      <c r="B117" s="9"/>
      <c r="C117" s="28">
        <v>2024999914</v>
      </c>
      <c r="D117" s="30" t="s">
        <v>5</v>
      </c>
      <c r="E117" s="29">
        <v>150</v>
      </c>
      <c r="F117" s="10"/>
      <c r="G117" s="10"/>
      <c r="H117" s="10"/>
      <c r="I117" s="10"/>
      <c r="J117" s="10"/>
      <c r="K117" s="17">
        <v>130248</v>
      </c>
      <c r="L117" s="17">
        <v>17314</v>
      </c>
      <c r="M117" s="110">
        <f>K117+L117</f>
        <v>147562</v>
      </c>
      <c r="N117" s="110"/>
      <c r="O117" s="110"/>
      <c r="P117" s="110"/>
      <c r="Q117" s="110"/>
      <c r="R117" s="110"/>
      <c r="S117" s="110"/>
      <c r="T117" s="111"/>
      <c r="U117" s="112"/>
      <c r="V117" s="112"/>
      <c r="W117" s="112"/>
      <c r="X117" s="112"/>
      <c r="Y117" s="112"/>
      <c r="Z117" s="112"/>
    </row>
    <row r="118" spans="1:26" ht="140.25" outlineLevel="4" x14ac:dyDescent="0.25">
      <c r="A118" s="25" t="s">
        <v>207</v>
      </c>
      <c r="B118" s="9"/>
      <c r="C118" s="28">
        <v>2024999914</v>
      </c>
      <c r="D118" s="30" t="s">
        <v>5</v>
      </c>
      <c r="E118" s="29">
        <v>150</v>
      </c>
      <c r="F118" s="10"/>
      <c r="G118" s="10"/>
      <c r="H118" s="10"/>
      <c r="I118" s="10"/>
      <c r="J118" s="10"/>
      <c r="K118" s="17"/>
      <c r="L118" s="17">
        <v>8700</v>
      </c>
      <c r="M118" s="110">
        <f>K118+L118</f>
        <v>8700</v>
      </c>
      <c r="N118" s="110"/>
      <c r="O118" s="110"/>
      <c r="P118" s="110"/>
      <c r="Q118" s="110"/>
      <c r="R118" s="110"/>
      <c r="S118" s="110"/>
      <c r="T118" s="111"/>
      <c r="U118" s="112"/>
      <c r="V118" s="112"/>
      <c r="W118" s="112"/>
      <c r="X118" s="112"/>
      <c r="Y118" s="112"/>
      <c r="Z118" s="112"/>
    </row>
    <row r="119" spans="1:26" ht="25.5" outlineLevel="4" x14ac:dyDescent="0.25">
      <c r="A119" s="25" t="s">
        <v>182</v>
      </c>
      <c r="B119" s="9"/>
      <c r="C119" s="28">
        <v>2024999914</v>
      </c>
      <c r="D119" s="30" t="s">
        <v>5</v>
      </c>
      <c r="E119" s="29">
        <v>150</v>
      </c>
      <c r="F119" s="10"/>
      <c r="G119" s="10"/>
      <c r="H119" s="10"/>
      <c r="I119" s="10"/>
      <c r="J119" s="10"/>
      <c r="K119" s="17">
        <v>14884495</v>
      </c>
      <c r="L119" s="17">
        <f>4730282.8+202600-451435.95</f>
        <v>4481446.8499999996</v>
      </c>
      <c r="M119" s="110">
        <f>100000+304500+722300+2068700+603607+3590000+1114800+204960+316830+522600+1721073+100000+1718975+1121150+675000+L119</f>
        <v>19365941.850000001</v>
      </c>
      <c r="N119" s="110"/>
      <c r="O119" s="110"/>
      <c r="P119" s="110"/>
      <c r="Q119" s="110"/>
      <c r="R119" s="110"/>
      <c r="S119" s="110"/>
      <c r="T119" s="111"/>
      <c r="U119" s="112"/>
      <c r="V119" s="112"/>
      <c r="W119" s="112"/>
      <c r="X119" s="112"/>
      <c r="Y119" s="112"/>
      <c r="Z119" s="112"/>
    </row>
    <row r="120" spans="1:26" s="6" customFormat="1" outlineLevel="1" x14ac:dyDescent="0.25">
      <c r="A120" s="19" t="s">
        <v>125</v>
      </c>
      <c r="B120" s="5" t="s">
        <v>4</v>
      </c>
      <c r="C120" s="26" t="s">
        <v>126</v>
      </c>
      <c r="D120" s="59" t="s">
        <v>5</v>
      </c>
      <c r="E120" s="27" t="s">
        <v>4</v>
      </c>
      <c r="F120" s="14"/>
      <c r="G120" s="14"/>
      <c r="H120" s="14"/>
      <c r="I120" s="14"/>
      <c r="J120" s="14"/>
      <c r="K120" s="18">
        <f t="shared" ref="K120:L120" si="43">K121</f>
        <v>26409677.100000001</v>
      </c>
      <c r="L120" s="18">
        <f t="shared" si="43"/>
        <v>-9100000</v>
      </c>
      <c r="M120" s="89">
        <f>M121</f>
        <v>17309677.100000001</v>
      </c>
      <c r="N120" s="95">
        <v>900000</v>
      </c>
      <c r="O120" s="95">
        <v>0</v>
      </c>
      <c r="P120" s="95">
        <v>900000</v>
      </c>
      <c r="Q120" s="95">
        <v>0</v>
      </c>
      <c r="R120" s="95">
        <v>900000</v>
      </c>
      <c r="S120" s="95">
        <v>0</v>
      </c>
      <c r="T120" s="90"/>
      <c r="U120" s="91">
        <v>0</v>
      </c>
      <c r="V120" s="91">
        <f>V121</f>
        <v>6000000</v>
      </c>
      <c r="W120" s="91">
        <f>W121</f>
        <v>6000000</v>
      </c>
      <c r="X120" s="91">
        <v>0</v>
      </c>
      <c r="Y120" s="91">
        <v>0</v>
      </c>
      <c r="Z120" s="91">
        <v>0</v>
      </c>
    </row>
    <row r="121" spans="1:26" outlineLevel="3" x14ac:dyDescent="0.25">
      <c r="A121" s="20" t="s">
        <v>127</v>
      </c>
      <c r="B121" s="3" t="s">
        <v>4</v>
      </c>
      <c r="C121" s="28" t="s">
        <v>128</v>
      </c>
      <c r="D121" s="30" t="s">
        <v>5</v>
      </c>
      <c r="E121" s="29" t="s">
        <v>100</v>
      </c>
      <c r="F121" s="10"/>
      <c r="G121" s="10"/>
      <c r="H121" s="10"/>
      <c r="I121" s="10"/>
      <c r="J121" s="10"/>
      <c r="K121" s="11">
        <v>26409677.100000001</v>
      </c>
      <c r="L121" s="11">
        <f>-2700000-6800000+400000</f>
        <v>-9100000</v>
      </c>
      <c r="M121" s="92">
        <f>900000+9677.1+24500000+1000000+L121</f>
        <v>17309677.100000001</v>
      </c>
      <c r="N121" s="93">
        <v>900000</v>
      </c>
      <c r="O121" s="93">
        <v>0</v>
      </c>
      <c r="P121" s="93">
        <v>900000</v>
      </c>
      <c r="Q121" s="93">
        <v>0</v>
      </c>
      <c r="R121" s="93">
        <v>900000</v>
      </c>
      <c r="S121" s="93">
        <v>0</v>
      </c>
      <c r="T121" s="84"/>
      <c r="U121" s="94">
        <v>0</v>
      </c>
      <c r="V121" s="94">
        <v>6000000</v>
      </c>
      <c r="W121" s="94">
        <f>U121+V121</f>
        <v>6000000</v>
      </c>
      <c r="X121" s="94">
        <v>0</v>
      </c>
      <c r="Y121" s="94">
        <v>0</v>
      </c>
      <c r="Z121" s="94">
        <v>0</v>
      </c>
    </row>
    <row r="122" spans="1:26" s="37" customFormat="1" ht="15.75" x14ac:dyDescent="0.25">
      <c r="A122" s="137" t="s">
        <v>129</v>
      </c>
      <c r="B122" s="137"/>
      <c r="C122" s="137"/>
      <c r="D122" s="137"/>
      <c r="E122" s="137"/>
      <c r="F122" s="137"/>
      <c r="G122" s="137"/>
      <c r="H122" s="137"/>
      <c r="I122" s="137"/>
      <c r="J122" s="137"/>
      <c r="K122" s="38">
        <f t="shared" ref="K122:L122" si="44">K9+K61</f>
        <v>764730262.25</v>
      </c>
      <c r="L122" s="38">
        <f t="shared" si="44"/>
        <v>103220576.39</v>
      </c>
      <c r="M122" s="116">
        <f>M9+M61</f>
        <v>867950838.63999999</v>
      </c>
      <c r="N122" s="117">
        <f t="shared" ref="N122:S122" si="45">N9+N61</f>
        <v>261820900</v>
      </c>
      <c r="O122" s="117">
        <f t="shared" si="45"/>
        <v>0</v>
      </c>
      <c r="P122" s="117">
        <f t="shared" si="45"/>
        <v>261820900</v>
      </c>
      <c r="Q122" s="117">
        <f t="shared" si="45"/>
        <v>0</v>
      </c>
      <c r="R122" s="117">
        <f t="shared" si="45"/>
        <v>261820900</v>
      </c>
      <c r="S122" s="117">
        <f t="shared" si="45"/>
        <v>0</v>
      </c>
      <c r="T122" s="118"/>
      <c r="U122" s="119">
        <f t="shared" ref="U122:V122" si="46">U9+U61</f>
        <v>650060604.56999993</v>
      </c>
      <c r="V122" s="119">
        <f t="shared" si="46"/>
        <v>-15093239.359999999</v>
      </c>
      <c r="W122" s="119">
        <f>W9+W61</f>
        <v>634967365.21000004</v>
      </c>
      <c r="X122" s="119">
        <f t="shared" ref="X122:Y122" si="47">X9+X61</f>
        <v>585745277.89999998</v>
      </c>
      <c r="Y122" s="119">
        <f t="shared" si="47"/>
        <v>-33123840.760000002</v>
      </c>
      <c r="Z122" s="119">
        <f>Z9+Z61</f>
        <v>552621437.13999999</v>
      </c>
    </row>
    <row r="123" spans="1:26" ht="12.75" customHeight="1" x14ac:dyDescent="0.25">
      <c r="A123" s="4"/>
      <c r="B123" s="4"/>
      <c r="C123" s="4"/>
      <c r="D123" s="4"/>
      <c r="E123" s="4"/>
      <c r="F123" s="4"/>
      <c r="G123" s="4"/>
      <c r="H123" s="4"/>
      <c r="I123" s="4"/>
      <c r="J123" s="4"/>
      <c r="K123" s="4"/>
      <c r="L123" s="4"/>
      <c r="M123" s="120"/>
      <c r="N123" s="120"/>
      <c r="O123" s="120"/>
      <c r="P123" s="120"/>
      <c r="Q123" s="120"/>
      <c r="R123" s="120"/>
      <c r="S123" s="120"/>
      <c r="T123" s="84"/>
      <c r="U123" s="84"/>
      <c r="V123" s="84"/>
    </row>
    <row r="124" spans="1:26" ht="14.65" customHeight="1" x14ac:dyDescent="0.25">
      <c r="A124" s="138"/>
      <c r="B124" s="138"/>
      <c r="C124" s="138"/>
      <c r="D124" s="138"/>
      <c r="E124" s="138"/>
      <c r="F124" s="138"/>
      <c r="G124" s="138"/>
      <c r="H124" s="138"/>
      <c r="I124" s="138"/>
      <c r="J124" s="138"/>
      <c r="K124" s="138"/>
      <c r="L124" s="138"/>
      <c r="M124" s="138"/>
      <c r="N124" s="138"/>
      <c r="O124" s="138"/>
      <c r="P124" s="138"/>
      <c r="Q124" s="138"/>
      <c r="R124" s="138"/>
      <c r="S124" s="138"/>
      <c r="T124" s="84"/>
      <c r="U124" s="84"/>
      <c r="V124" s="84"/>
    </row>
    <row r="126" spans="1:26" x14ac:dyDescent="0.25">
      <c r="M126" s="121"/>
    </row>
  </sheetData>
  <mergeCells count="12">
    <mergeCell ref="A122:J122"/>
    <mergeCell ref="A124:S124"/>
    <mergeCell ref="A6:Z6"/>
    <mergeCell ref="A4:Z4"/>
    <mergeCell ref="A5:Z5"/>
    <mergeCell ref="A1:Z1"/>
    <mergeCell ref="B7:E8"/>
    <mergeCell ref="A7:A8"/>
    <mergeCell ref="K7:M7"/>
    <mergeCell ref="U7:W7"/>
    <mergeCell ref="X7:Z7"/>
    <mergeCell ref="V2:Z2"/>
  </mergeCells>
  <pageMargins left="0.78740157480314965" right="0.19685039370078741" top="0.98425196850393704" bottom="0.78740157480314965" header="0" footer="0"/>
  <pageSetup paperSize="9" scale="60" fitToHeight="20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Макарова Анна Викторовна</cp:lastModifiedBy>
  <cp:lastPrinted>2024-12-26T05:42:49Z</cp:lastPrinted>
  <dcterms:created xsi:type="dcterms:W3CDTF">2023-12-15T15:26:58Z</dcterms:created>
  <dcterms:modified xsi:type="dcterms:W3CDTF">2024-12-26T05:42:56Z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